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4030" windowHeight="4725" tabRatio="881"/>
  </bookViews>
  <sheets>
    <sheet name="１　対象経営の概要，２　前提条件" sheetId="19" r:id="rId1"/>
    <sheet name="３　キク標準技術" sheetId="24" r:id="rId2"/>
    <sheet name="４　経営収支" sheetId="22" r:id="rId3"/>
    <sheet name="５　きく作業時間" sheetId="27" r:id="rId4"/>
    <sheet name="６　固定資本装備と減価償却費" sheetId="30" r:id="rId5"/>
    <sheet name="７　きく部門収支" sheetId="35" r:id="rId6"/>
    <sheet name="８　きく算出基礎" sheetId="36" r:id="rId7"/>
    <sheet name="９　きく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経営収支'!$A$1:$P$38</definedName>
    <definedName name="_xlnm.Print_Area" localSheetId="3">'５　きく作業時間'!$A$1:$AN$38</definedName>
    <definedName name="_xlnm.Print_Area" localSheetId="4">'６　固定資本装備と減価償却費'!$1:$43</definedName>
    <definedName name="_xlnm.Print_Area" localSheetId="5">'７　きく部門収支'!$A$1:$S$45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N55" i="36" l="1"/>
  <c r="D30" i="27"/>
  <c r="D36" i="27"/>
  <c r="L5" i="30" l="1"/>
  <c r="P5" i="30" s="1"/>
  <c r="I5" i="30"/>
  <c r="I18" i="30"/>
  <c r="L18" i="30" s="1"/>
  <c r="P18" i="30" s="1"/>
  <c r="P16" i="30"/>
  <c r="I15" i="30"/>
  <c r="L15" i="30" s="1"/>
  <c r="P15" i="30" s="1"/>
  <c r="L14" i="30"/>
  <c r="P14" i="30"/>
  <c r="I14" i="30"/>
  <c r="I13" i="30"/>
  <c r="N40" i="36" l="1"/>
  <c r="V51" i="36" l="1"/>
  <c r="V45" i="36"/>
  <c r="N37" i="36" l="1"/>
  <c r="N36" i="36"/>
  <c r="N35" i="36"/>
  <c r="G51" i="36" l="1"/>
  <c r="N16" i="36" l="1"/>
  <c r="V19" i="36" l="1"/>
  <c r="V33" i="36" l="1"/>
  <c r="O19" i="42" l="1"/>
  <c r="O18" i="42"/>
  <c r="O17" i="42"/>
  <c r="O16" i="42"/>
  <c r="O15" i="42"/>
  <c r="O10" i="42"/>
  <c r="O9" i="42"/>
  <c r="O8" i="42"/>
  <c r="O7" i="42"/>
  <c r="O6" i="42"/>
  <c r="V32" i="36"/>
  <c r="V31" i="36"/>
  <c r="V30" i="36"/>
  <c r="V29" i="36"/>
  <c r="V28" i="36"/>
  <c r="N43" i="36" l="1"/>
  <c r="N52" i="36"/>
  <c r="N14" i="36" l="1"/>
  <c r="N13" i="36"/>
  <c r="N12" i="36"/>
  <c r="N11" i="36"/>
  <c r="N6" i="36"/>
  <c r="V16" i="36"/>
  <c r="V17" i="36"/>
  <c r="V18" i="36"/>
  <c r="V15" i="36" l="1"/>
  <c r="V14" i="36"/>
  <c r="V13" i="36"/>
  <c r="V12" i="36"/>
  <c r="V11" i="36"/>
  <c r="V10" i="36"/>
  <c r="G57" i="36"/>
  <c r="G53" i="36"/>
  <c r="P26" i="35" s="1"/>
  <c r="G38" i="36"/>
  <c r="G37" i="36"/>
  <c r="G49" i="36"/>
  <c r="G29" i="36"/>
  <c r="P11" i="35" l="1"/>
  <c r="F22" i="35" s="1"/>
  <c r="H22" i="22" l="1"/>
  <c r="H7" i="22"/>
  <c r="G24" i="22"/>
  <c r="F24" i="22" s="1"/>
  <c r="G26" i="22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23" i="22"/>
  <c r="F23" i="22" s="1"/>
  <c r="G6" i="22"/>
  <c r="F6" i="22" s="1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P35" i="35" s="1"/>
  <c r="N50" i="36"/>
  <c r="N46" i="36"/>
  <c r="N51" i="36"/>
  <c r="N54" i="36" s="1"/>
  <c r="V56" i="36"/>
  <c r="V50" i="36"/>
  <c r="V44" i="36"/>
  <c r="V27" i="36"/>
  <c r="V26" i="36"/>
  <c r="V25" i="36"/>
  <c r="V24" i="36"/>
  <c r="V57" i="36" l="1"/>
  <c r="N42" i="36"/>
  <c r="I9" i="30"/>
  <c r="L9" i="30" s="1"/>
  <c r="N9" i="30" s="1"/>
  <c r="P9" i="30"/>
  <c r="I10" i="30"/>
  <c r="L10" i="30" s="1"/>
  <c r="N10" i="30" s="1"/>
  <c r="P10" i="30"/>
  <c r="I6" i="30"/>
  <c r="I7" i="30"/>
  <c r="L6" i="30" l="1"/>
  <c r="L7" i="30"/>
  <c r="AM36" i="27" l="1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AN35" i="27"/>
  <c r="AN38" i="27"/>
  <c r="AN34" i="27"/>
  <c r="AN33" i="27"/>
  <c r="AN32" i="27"/>
  <c r="G19" i="36"/>
  <c r="G18" i="36"/>
  <c r="L31" i="36"/>
  <c r="K31" i="36"/>
  <c r="L23" i="36"/>
  <c r="K23" i="36"/>
  <c r="L19" i="36"/>
  <c r="K19" i="36"/>
  <c r="N30" i="36"/>
  <c r="N29" i="36"/>
  <c r="N28" i="36"/>
  <c r="N22" i="36"/>
  <c r="N21" i="36"/>
  <c r="N20" i="36"/>
  <c r="N18" i="36"/>
  <c r="N17" i="36"/>
  <c r="L15" i="36"/>
  <c r="K15" i="36"/>
  <c r="L10" i="36"/>
  <c r="K10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4" i="35"/>
  <c r="V9" i="36"/>
  <c r="V8" i="36"/>
  <c r="V7" i="36"/>
  <c r="V6" i="36"/>
  <c r="V5" i="36"/>
  <c r="G56" i="36"/>
  <c r="G50" i="36"/>
  <c r="G48" i="36"/>
  <c r="G40" i="36"/>
  <c r="G39" i="36"/>
  <c r="G30" i="36"/>
  <c r="G28" i="36"/>
  <c r="N7" i="35"/>
  <c r="N8" i="35"/>
  <c r="R6" i="35"/>
  <c r="R7" i="35"/>
  <c r="R8" i="35"/>
  <c r="N6" i="35"/>
  <c r="P13" i="35"/>
  <c r="R5" i="35"/>
  <c r="N5" i="35"/>
  <c r="I36" i="30"/>
  <c r="L36" i="30" s="1"/>
  <c r="I22" i="30"/>
  <c r="L22" i="30" s="1"/>
  <c r="I17" i="30"/>
  <c r="L17" i="30" s="1"/>
  <c r="P26" i="30"/>
  <c r="I26" i="30"/>
  <c r="L26" i="30" s="1"/>
  <c r="P25" i="30"/>
  <c r="I25" i="30"/>
  <c r="L25" i="30" s="1"/>
  <c r="I19" i="30"/>
  <c r="L19" i="30" s="1"/>
  <c r="P19" i="30" s="1"/>
  <c r="P35" i="30"/>
  <c r="I35" i="30"/>
  <c r="L35" i="30" s="1"/>
  <c r="G42" i="30"/>
  <c r="P41" i="30"/>
  <c r="I41" i="30"/>
  <c r="L41" i="30" s="1"/>
  <c r="N41" i="30" s="1"/>
  <c r="P40" i="30"/>
  <c r="I40" i="30"/>
  <c r="L40" i="30" s="1"/>
  <c r="N40" i="30" s="1"/>
  <c r="P39" i="30"/>
  <c r="I39" i="30"/>
  <c r="L39" i="30" s="1"/>
  <c r="N39" i="30" s="1"/>
  <c r="I38" i="30"/>
  <c r="G37" i="30"/>
  <c r="P34" i="30"/>
  <c r="I34" i="30"/>
  <c r="P33" i="30"/>
  <c r="I33" i="30"/>
  <c r="L33" i="30" s="1"/>
  <c r="P32" i="30"/>
  <c r="I32" i="30"/>
  <c r="L32" i="30" s="1"/>
  <c r="I31" i="30"/>
  <c r="L31" i="30" s="1"/>
  <c r="I30" i="30"/>
  <c r="L30" i="30" s="1"/>
  <c r="N30" i="30" s="1"/>
  <c r="P29" i="30"/>
  <c r="I29" i="30"/>
  <c r="P28" i="30"/>
  <c r="I28" i="30"/>
  <c r="L28" i="30" s="1"/>
  <c r="N28" i="30" s="1"/>
  <c r="P27" i="30"/>
  <c r="I27" i="30"/>
  <c r="L27" i="30" s="1"/>
  <c r="N27" i="30" s="1"/>
  <c r="P24" i="30"/>
  <c r="I24" i="30"/>
  <c r="I23" i="30"/>
  <c r="L23" i="30" s="1"/>
  <c r="I21" i="30"/>
  <c r="I20" i="30"/>
  <c r="L20" i="30" s="1"/>
  <c r="P20" i="30" s="1"/>
  <c r="I16" i="30"/>
  <c r="L16" i="30" s="1"/>
  <c r="G12" i="30"/>
  <c r="P11" i="30"/>
  <c r="I11" i="30"/>
  <c r="L11" i="30" s="1"/>
  <c r="N11" i="30" s="1"/>
  <c r="I8" i="30"/>
  <c r="L8" i="30" s="1"/>
  <c r="P8" i="30" s="1"/>
  <c r="AN10" i="27"/>
  <c r="AM21" i="27"/>
  <c r="AM30" i="27" s="1"/>
  <c r="AL21" i="27"/>
  <c r="AL30" i="27" s="1"/>
  <c r="AK21" i="27"/>
  <c r="AK30" i="27" s="1"/>
  <c r="AJ21" i="27"/>
  <c r="AJ30" i="27" s="1"/>
  <c r="AI21" i="27"/>
  <c r="AI30" i="27" s="1"/>
  <c r="AH21" i="27"/>
  <c r="AH30" i="27" s="1"/>
  <c r="AG21" i="27"/>
  <c r="AG30" i="27" s="1"/>
  <c r="AF21" i="27"/>
  <c r="AF30" i="27" s="1"/>
  <c r="AE21" i="27"/>
  <c r="AE30" i="27" s="1"/>
  <c r="AD21" i="27"/>
  <c r="AD30" i="27" s="1"/>
  <c r="AC21" i="27"/>
  <c r="AC30" i="27" s="1"/>
  <c r="AB21" i="27"/>
  <c r="AB30" i="27" s="1"/>
  <c r="AA21" i="27"/>
  <c r="AA30" i="27" s="1"/>
  <c r="Z21" i="27"/>
  <c r="Z30" i="27" s="1"/>
  <c r="Y21" i="27"/>
  <c r="Y30" i="27" s="1"/>
  <c r="X21" i="27"/>
  <c r="X30" i="27" s="1"/>
  <c r="W21" i="27"/>
  <c r="W30" i="27" s="1"/>
  <c r="V21" i="27"/>
  <c r="V30" i="27" s="1"/>
  <c r="U21" i="27"/>
  <c r="U30" i="27" s="1"/>
  <c r="T21" i="27"/>
  <c r="T30" i="27" s="1"/>
  <c r="S21" i="27"/>
  <c r="S30" i="27" s="1"/>
  <c r="R21" i="27"/>
  <c r="R30" i="27" s="1"/>
  <c r="Q21" i="27"/>
  <c r="Q30" i="27" s="1"/>
  <c r="P21" i="27"/>
  <c r="P30" i="27" s="1"/>
  <c r="O21" i="27"/>
  <c r="O30" i="27" s="1"/>
  <c r="N21" i="27"/>
  <c r="N30" i="27" s="1"/>
  <c r="M21" i="27"/>
  <c r="M30" i="27" s="1"/>
  <c r="L21" i="27"/>
  <c r="L30" i="27" s="1"/>
  <c r="K21" i="27"/>
  <c r="K30" i="27" s="1"/>
  <c r="J21" i="27"/>
  <c r="J30" i="27" s="1"/>
  <c r="I21" i="27"/>
  <c r="I30" i="27" s="1"/>
  <c r="H21" i="27"/>
  <c r="H30" i="27" s="1"/>
  <c r="G21" i="27"/>
  <c r="G30" i="27" s="1"/>
  <c r="F21" i="27"/>
  <c r="F30" i="27" s="1"/>
  <c r="E21" i="27"/>
  <c r="E30" i="27" s="1"/>
  <c r="D21" i="27"/>
  <c r="AN20" i="27"/>
  <c r="AN19" i="27"/>
  <c r="AN18" i="27"/>
  <c r="AN17" i="27"/>
  <c r="AN16" i="27"/>
  <c r="AN15" i="27"/>
  <c r="AN14" i="27"/>
  <c r="AN13" i="27"/>
  <c r="AN12" i="27"/>
  <c r="AN11" i="27"/>
  <c r="AN36" i="27" l="1"/>
  <c r="K37" i="22" s="1"/>
  <c r="AN30" i="27"/>
  <c r="AN22" i="27"/>
  <c r="P15" i="35"/>
  <c r="G36" i="36"/>
  <c r="P24" i="35" s="1"/>
  <c r="R11" i="35"/>
  <c r="P25" i="35"/>
  <c r="G33" i="22"/>
  <c r="F33" i="22" s="1"/>
  <c r="N37" i="22"/>
  <c r="I42" i="30"/>
  <c r="L21" i="30"/>
  <c r="L34" i="30"/>
  <c r="N34" i="30" s="1"/>
  <c r="N33" i="30"/>
  <c r="S37" i="27"/>
  <c r="G37" i="27"/>
  <c r="K37" i="27"/>
  <c r="O37" i="27"/>
  <c r="W37" i="27"/>
  <c r="AE37" i="27"/>
  <c r="AI37" i="27"/>
  <c r="AM37" i="27"/>
  <c r="N37" i="27"/>
  <c r="V37" i="27"/>
  <c r="AD37" i="27"/>
  <c r="AH37" i="27"/>
  <c r="E37" i="27"/>
  <c r="M37" i="27"/>
  <c r="U37" i="27"/>
  <c r="Y37" i="27"/>
  <c r="AG37" i="27"/>
  <c r="AK37" i="27"/>
  <c r="F37" i="27"/>
  <c r="J37" i="27"/>
  <c r="R37" i="27"/>
  <c r="Z37" i="27"/>
  <c r="AL37" i="27"/>
  <c r="I37" i="27"/>
  <c r="Q37" i="27"/>
  <c r="AC37" i="27"/>
  <c r="T37" i="27"/>
  <c r="AF37" i="27"/>
  <c r="AA37" i="27"/>
  <c r="X37" i="27"/>
  <c r="P37" i="27"/>
  <c r="H37" i="27"/>
  <c r="L37" i="27"/>
  <c r="AJ37" i="27"/>
  <c r="AB37" i="27"/>
  <c r="D37" i="27"/>
  <c r="K22" i="27"/>
  <c r="H22" i="27"/>
  <c r="G20" i="36"/>
  <c r="P20" i="35" s="1"/>
  <c r="N15" i="36"/>
  <c r="P31" i="35" s="1"/>
  <c r="V34" i="36"/>
  <c r="N31" i="36"/>
  <c r="P36" i="35" s="1"/>
  <c r="N19" i="36"/>
  <c r="P33" i="35" s="1"/>
  <c r="N23" i="36"/>
  <c r="P34" i="35" s="1"/>
  <c r="N10" i="36"/>
  <c r="P30" i="35" s="1"/>
  <c r="G7" i="36"/>
  <c r="P17" i="35" s="1"/>
  <c r="G11" i="36"/>
  <c r="P18" i="35" s="1"/>
  <c r="G16" i="36"/>
  <c r="P19" i="35" s="1"/>
  <c r="G24" i="36"/>
  <c r="P21" i="35" s="1"/>
  <c r="V20" i="36"/>
  <c r="F10" i="35" s="1"/>
  <c r="G12" i="22" s="1"/>
  <c r="F12" i="22" s="1"/>
  <c r="P27" i="35"/>
  <c r="F6" i="35"/>
  <c r="G8" i="22" s="1"/>
  <c r="F8" i="22" s="1"/>
  <c r="L24" i="30"/>
  <c r="N24" i="30" s="1"/>
  <c r="L29" i="30"/>
  <c r="N29" i="30" s="1"/>
  <c r="N32" i="30"/>
  <c r="N25" i="30"/>
  <c r="N35" i="30"/>
  <c r="N26" i="30"/>
  <c r="I37" i="30"/>
  <c r="G43" i="30"/>
  <c r="I12" i="30"/>
  <c r="N36" i="30"/>
  <c r="P36" i="30" s="1"/>
  <c r="P7" i="30"/>
  <c r="N31" i="30"/>
  <c r="P31" i="30" s="1"/>
  <c r="P6" i="30"/>
  <c r="P22" i="30"/>
  <c r="P23" i="30"/>
  <c r="N23" i="30"/>
  <c r="P17" i="30"/>
  <c r="L13" i="30"/>
  <c r="P30" i="30"/>
  <c r="L38" i="30"/>
  <c r="AN21" i="27"/>
  <c r="T22" i="27"/>
  <c r="T31" i="27" s="1"/>
  <c r="AF22" i="27"/>
  <c r="AF31" i="27" s="1"/>
  <c r="W22" i="27"/>
  <c r="W31" i="27" s="1"/>
  <c r="AI22" i="27"/>
  <c r="AI31" i="27" s="1"/>
  <c r="AL22" i="27"/>
  <c r="AL31" i="27" s="1"/>
  <c r="E22" i="27"/>
  <c r="E31" i="27" s="1"/>
  <c r="Q22" i="27"/>
  <c r="Q31" i="27" s="1"/>
  <c r="AC22" i="27"/>
  <c r="AC31" i="27" s="1"/>
  <c r="N22" i="27"/>
  <c r="N31" i="27" s="1"/>
  <c r="Z22" i="27"/>
  <c r="Z31" i="27" s="1"/>
  <c r="F11" i="35" l="1"/>
  <c r="G13" i="22" s="1"/>
  <c r="F13" i="22" s="1"/>
  <c r="F23" i="35"/>
  <c r="G25" i="22" s="1"/>
  <c r="F25" i="22" s="1"/>
  <c r="F4" i="35"/>
  <c r="P12" i="30"/>
  <c r="F15" i="35" s="1"/>
  <c r="G17" i="22" s="1"/>
  <c r="F17" i="22" s="1"/>
  <c r="F26" i="35"/>
  <c r="L12" i="30"/>
  <c r="F13" i="35" s="1"/>
  <c r="G15" i="22" s="1"/>
  <c r="F15" i="22" s="1"/>
  <c r="AN37" i="27"/>
  <c r="K31" i="27"/>
  <c r="AN31" i="27" s="1"/>
  <c r="H31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Q11" i="35"/>
  <c r="I43" i="30"/>
  <c r="P21" i="30"/>
  <c r="L37" i="30"/>
  <c r="F14" i="35" s="1"/>
  <c r="G16" i="22" s="1"/>
  <c r="F16" i="22" s="1"/>
  <c r="P13" i="30"/>
  <c r="L42" i="30"/>
  <c r="N38" i="30"/>
  <c r="P38" i="30" s="1"/>
  <c r="P42" i="30" s="1"/>
  <c r="F17" i="35" s="1"/>
  <c r="G19" i="22" s="1"/>
  <c r="F19" i="22" s="1"/>
  <c r="G5" i="22" l="1"/>
  <c r="F5" i="22" s="1"/>
  <c r="N56" i="36"/>
  <c r="N57" i="36" s="1"/>
  <c r="F28" i="35" s="1"/>
  <c r="G28" i="22"/>
  <c r="F28" i="22" s="1"/>
  <c r="P37" i="30"/>
  <c r="F16" i="35" s="1"/>
  <c r="G18" i="22" s="1"/>
  <c r="F18" i="22" s="1"/>
  <c r="L43" i="30"/>
  <c r="G37" i="22"/>
  <c r="F37" i="22" s="1"/>
  <c r="G30" i="22" l="1"/>
  <c r="F30" i="22" s="1"/>
  <c r="F30" i="35"/>
  <c r="F29" i="35" s="1"/>
  <c r="G31" i="22" s="1"/>
  <c r="F31" i="22" s="1"/>
  <c r="P43" i="30"/>
  <c r="G7" i="22"/>
  <c r="F32" i="22" l="1"/>
  <c r="F19" i="35"/>
  <c r="G21" i="22" s="1"/>
  <c r="F21" i="22" s="1"/>
  <c r="F22" i="22" s="1"/>
  <c r="F34" i="22" s="1"/>
  <c r="F7" i="22"/>
  <c r="F35" i="22" l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<sst xmlns="http://schemas.openxmlformats.org/spreadsheetml/2006/main" count="816" uniqueCount="517">
  <si>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</si>
  <si>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</si>
  <si>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</si>
  <si>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</si>
  <si>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</si>
  <si>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</si>
  <si>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</si>
  <si>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</si>
  <si>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</si>
  <si>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</si>
  <si>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</si>
  <si>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</si>
  <si>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</si>
  <si>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</si>
  <si>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</si>
  <si>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</si>
  <si>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</si>
  <si>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</si>
  <si>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</si>
  <si>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</si>
  <si>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</si>
  <si>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</si>
  <si>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</si>
  <si>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</si>
  <si>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</si>
  <si>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</si>
  <si>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</si>
  <si>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</si>
  <si>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</si>
  <si>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</si>
  <si>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</si>
  <si>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</si>
  <si>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</si>
  <si>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</si>
  <si>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</si>
  <si>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</si>
  <si>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</si>
  <si>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</si>
  <si>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</si>
  <si>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</si>
  <si>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</si>
  <si>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</si>
  <si>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</si>
  <si>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</si>
  <si>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パイプハウス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</si>
  <si>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</si>
  <si>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</si>
  <si>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</si>
  <si>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</si>
  <si>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</si>
  <si>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</si>
  <si>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</si>
  <si>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</si>
  <si>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</si>
  <si>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</si>
  <si>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</si>
  <si>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</si>
  <si>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</si>
  <si>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</si>
  <si>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</si>
  <si>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</si>
  <si>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</si>
  <si>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</si>
  <si>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</si>
  <si>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</si>
  <si>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</si>
  <si>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</si>
  <si>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</si>
  <si>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</si>
  <si>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</si>
  <si>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</si>
  <si>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</si>
  <si>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</si>
  <si>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</si>
  <si>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</si>
  <si>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</si>
  <si>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</si>
  <si>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</si>
  <si>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</si>
  <si>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</si>
  <si>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</si>
  <si>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</si>
  <si>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</si>
  <si>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</si>
  <si>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</si>
  <si>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</si>
  <si>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</si>
  <si>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</si>
  <si>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</si>
  <si>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</si>
  <si>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</si>
  <si>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</si>
  <si>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</si>
  <si>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</si>
  <si>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</si>
  <si>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</si>
  <si>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</si>
  <si>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</si>
  <si>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</si>
  <si>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</si>
  <si>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</si>
  <si>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</si>
  <si>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</si>
  <si>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</si>
  <si>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</si>
  <si>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</si>
  <si>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</si>
  <si>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</si>
  <si>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</si>
  <si>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</si>
  <si>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</si>
  <si>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</si>
  <si>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</si>
  <si>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</si>
  <si>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</si>
  <si>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</si>
  <si>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</si>
  <si>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</si>
  <si>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</si>
  <si>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</si>
  <si>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</si>
  <si>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</si>
  <si>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</si>
  <si>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</si>
  <si>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</si>
  <si>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</si>
  <si>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</si>
  <si>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</si>
  <si>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</si>
  <si>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</si>
  <si>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</si>
  <si>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</si>
  <si>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</si>
  <si>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</si>
  <si>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</si>
  <si>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</si>
  <si>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</si>
  <si>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</si>
  <si>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</si>
  <si>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</si>
  <si>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</si>
  <si>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</si>
  <si>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</si>
  <si>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</si>
  <si>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</si>
  <si>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</si>
  <si>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</si>
  <si>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</si>
  <si>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</si>
  <si>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</si>
  <si>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</si>
  <si>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</si>
  <si>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</si>
  <si>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</si>
  <si>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</si>
  <si>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</si>
  <si>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</si>
  <si>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</si>
  <si>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</si>
  <si>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</si>
  <si>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</si>
  <si>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</si>
  <si>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</si>
  <si>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</si>
  <si>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</si>
  <si>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</si>
  <si>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</si>
  <si>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</si>
  <si>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</si>
  <si>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</si>
  <si>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</si>
  <si>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</si>
  <si>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</si>
  <si>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</si>
  <si>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</si>
  <si>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</si>
  <si>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</si>
  <si>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</si>
  <si>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</si>
  <si>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</si>
  <si>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</si>
  <si>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</si>
  <si>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</si>
  <si>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</si>
  <si>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</si>
  <si>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</si>
  <si>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</si>
  <si>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</si>
  <si>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</si>
  <si>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</si>
  <si>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</si>
  <si>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</si>
  <si>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</si>
  <si>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</si>
  <si>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</si>
  <si>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</si>
  <si>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</si>
  <si>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</si>
  <si>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</si>
  <si>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</si>
  <si>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</si>
  <si>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</si>
  <si>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</si>
  <si>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</si>
  <si>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</si>
  <si>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</si>
  <si>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</si>
  <si>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</si>
  <si>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</si>
  <si>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</si>
  <si>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</si>
  <si>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</si>
  <si>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（全産地）</t>
    <phoneticPr fontId="4"/>
  </si>
  <si>
    <t>平均</t>
  </si>
  <si>
    <t>平　　均</t>
  </si>
  <si>
    <t>作業場</t>
  </si>
  <si>
    <t>㎡</t>
  </si>
  <si>
    <t>資材・農機具庫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</si>
  <si>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</si>
  <si>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</si>
  <si>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</si>
  <si>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</si>
  <si>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</si>
  <si>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</si>
  <si>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</si>
  <si>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</si>
  <si>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</si>
  <si>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</si>
  <si>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</si>
  <si>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</si>
  <si>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</si>
  <si>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</si>
  <si>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</si>
  <si>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</si>
  <si>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</si>
  <si>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</si>
  <si>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</si>
  <si>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</si>
  <si>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</si>
  <si>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</si>
  <si>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</si>
  <si>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</si>
  <si>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</si>
  <si>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</si>
  <si>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</si>
  <si>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</si>
  <si>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</si>
  <si>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</si>
  <si>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</si>
  <si>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</si>
  <si>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</si>
  <si>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</si>
  <si>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</si>
  <si>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</si>
  <si>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</si>
  <si>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</si>
  <si>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</si>
  <si>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露地７～10月出荷</t>
    <rPh sb="0" eb="2">
      <t>ロジ</t>
    </rPh>
    <rPh sb="6" eb="7">
      <t>ガツ</t>
    </rPh>
    <rPh sb="7" eb="9">
      <t>シュッカ</t>
    </rPh>
    <phoneticPr fontId="3"/>
  </si>
  <si>
    <t>個別経営体</t>
    <rPh sb="0" eb="2">
      <t>コベツ</t>
    </rPh>
    <rPh sb="2" eb="5">
      <t>ケイエイタイ</t>
    </rPh>
    <phoneticPr fontId="3"/>
  </si>
  <si>
    <t>きく （ 8月出荷）</t>
    <rPh sb="6" eb="7">
      <t>ガツ</t>
    </rPh>
    <rPh sb="7" eb="9">
      <t>シュッカ</t>
    </rPh>
    <phoneticPr fontId="3"/>
  </si>
  <si>
    <t>きく （ 7月出荷）</t>
    <rPh sb="6" eb="7">
      <t>ガツ</t>
    </rPh>
    <rPh sb="7" eb="9">
      <t>シュッカ</t>
    </rPh>
    <phoneticPr fontId="3"/>
  </si>
  <si>
    <t>きく （ 9月出荷）</t>
    <rPh sb="6" eb="7">
      <t>ガツ</t>
    </rPh>
    <rPh sb="7" eb="9">
      <t>シュッカ</t>
    </rPh>
    <phoneticPr fontId="3"/>
  </si>
  <si>
    <t>きく （10月出荷）</t>
    <rPh sb="6" eb="7">
      <t>ガツ</t>
    </rPh>
    <rPh sb="7" eb="9">
      <t>シュッカ</t>
    </rPh>
    <phoneticPr fontId="3"/>
  </si>
  <si>
    <t>15a</t>
    <phoneticPr fontId="4"/>
  </si>
  <si>
    <t>25a</t>
    <phoneticPr fontId="3"/>
  </si>
  <si>
    <t>↓：挿し芽　　◎：定植　　×：摘芯　　■：収穫</t>
    <rPh sb="2" eb="3">
      <t>サ</t>
    </rPh>
    <rPh sb="4" eb="5">
      <t>メ</t>
    </rPh>
    <rPh sb="9" eb="11">
      <t>テイショク</t>
    </rPh>
    <rPh sb="15" eb="17">
      <t>テキシン</t>
    </rPh>
    <rPh sb="21" eb="23">
      <t>シュウカク</t>
    </rPh>
    <phoneticPr fontId="4"/>
  </si>
  <si>
    <t>◎×</t>
    <phoneticPr fontId="3"/>
  </si>
  <si>
    <t>■</t>
    <phoneticPr fontId="3"/>
  </si>
  <si>
    <t>80a</t>
    <phoneticPr fontId="3"/>
  </si>
  <si>
    <t>きく</t>
    <phoneticPr fontId="3"/>
  </si>
  <si>
    <t>5a</t>
    <phoneticPr fontId="3"/>
  </si>
  <si>
    <t>親株･育苗ハウス</t>
    <rPh sb="0" eb="2">
      <t>オヤカブ</t>
    </rPh>
    <rPh sb="3" eb="5">
      <t>イクビョウ</t>
    </rPh>
    <phoneticPr fontId="3"/>
  </si>
  <si>
    <t>80a</t>
    <phoneticPr fontId="4"/>
  </si>
  <si>
    <t>165a</t>
    <phoneticPr fontId="3"/>
  </si>
  <si>
    <t>水稲（委託）</t>
    <rPh sb="0" eb="2">
      <t>スイトウ</t>
    </rPh>
    <rPh sb="3" eb="5">
      <t>イタク</t>
    </rPh>
    <phoneticPr fontId="3"/>
  </si>
  <si>
    <t>◎×</t>
    <phoneticPr fontId="3"/>
  </si>
  <si>
    <t>◎×</t>
    <phoneticPr fontId="3"/>
  </si>
  <si>
    <t>水田利用（水稲との輪作）</t>
    <rPh sb="0" eb="2">
      <t>スイデン</t>
    </rPh>
    <rPh sb="2" eb="4">
      <t>リヨウ</t>
    </rPh>
    <rPh sb="5" eb="7">
      <t>スイトウ</t>
    </rPh>
    <rPh sb="9" eb="11">
      <t>リンサク</t>
    </rPh>
    <phoneticPr fontId="3"/>
  </si>
  <si>
    <t>２.５人</t>
    <rPh sb="3" eb="4">
      <t>ヒト</t>
    </rPh>
    <phoneticPr fontId="3"/>
  </si>
  <si>
    <t>動力噴霧機・育苗ハウス　等</t>
    <rPh sb="0" eb="2">
      <t>ドウリョク</t>
    </rPh>
    <rPh sb="2" eb="4">
      <t>フンム</t>
    </rPh>
    <rPh sb="4" eb="5">
      <t>キ</t>
    </rPh>
    <rPh sb="6" eb="8">
      <t>イクビョウ</t>
    </rPh>
    <rPh sb="12" eb="13">
      <t>ナド</t>
    </rPh>
    <phoneticPr fontId="3"/>
  </si>
  <si>
    <t>個選共販</t>
    <rPh sb="0" eb="2">
      <t>コセン</t>
    </rPh>
    <rPh sb="2" eb="4">
      <t>キョウハン</t>
    </rPh>
    <phoneticPr fontId="3"/>
  </si>
  <si>
    <t>圃場準備</t>
    <rPh sb="0" eb="1">
      <t>ホ</t>
    </rPh>
    <rPh sb="1" eb="2">
      <t>バ</t>
    </rPh>
    <rPh sb="2" eb="4">
      <t>ジュンビ</t>
    </rPh>
    <phoneticPr fontId="4"/>
  </si>
  <si>
    <t>定植</t>
    <rPh sb="0" eb="2">
      <t>テイショク</t>
    </rPh>
    <phoneticPr fontId="4"/>
  </si>
  <si>
    <t>摘芯</t>
    <rPh sb="0" eb="2">
      <t>テキシン</t>
    </rPh>
    <phoneticPr fontId="4"/>
  </si>
  <si>
    <t>整枝</t>
    <rPh sb="0" eb="1">
      <t>トトノ</t>
    </rPh>
    <rPh sb="1" eb="2">
      <t>エダ</t>
    </rPh>
    <phoneticPr fontId="4"/>
  </si>
  <si>
    <t>病害虫防除</t>
    <rPh sb="0" eb="3">
      <t>ビョウガイチュウ</t>
    </rPh>
    <rPh sb="3" eb="5">
      <t>ボウジョ</t>
    </rPh>
    <phoneticPr fontId="4"/>
  </si>
  <si>
    <t>親株管理</t>
    <rPh sb="0" eb="2">
      <t>オヤカブ</t>
    </rPh>
    <rPh sb="2" eb="4">
      <t>カンリ</t>
    </rPh>
    <phoneticPr fontId="4"/>
  </si>
  <si>
    <t>◎×</t>
    <phoneticPr fontId="3"/>
  </si>
  <si>
    <t>定植の約１週間後</t>
    <rPh sb="0" eb="2">
      <t>テイショク</t>
    </rPh>
    <rPh sb="3" eb="4">
      <t>ヤク</t>
    </rPh>
    <rPh sb="5" eb="8">
      <t>シュウカンゴ</t>
    </rPh>
    <phoneticPr fontId="4"/>
  </si>
  <si>
    <t>親株･定植～収穫前</t>
    <rPh sb="0" eb="2">
      <t>オヤカブ</t>
    </rPh>
    <rPh sb="3" eb="5">
      <t>テイショク</t>
    </rPh>
    <rPh sb="6" eb="8">
      <t>シュウカク</t>
    </rPh>
    <rPh sb="8" eb="9">
      <t>マエ</t>
    </rPh>
    <phoneticPr fontId="4"/>
  </si>
  <si>
    <t>収穫</t>
    <rPh sb="0" eb="2">
      <t>シュウカク</t>
    </rPh>
    <phoneticPr fontId="4"/>
  </si>
  <si>
    <t>開花前</t>
    <rPh sb="0" eb="2">
      <t>カイカ</t>
    </rPh>
    <rPh sb="2" eb="3">
      <t>マエ</t>
    </rPh>
    <phoneticPr fontId="4"/>
  </si>
  <si>
    <t>収穫後</t>
    <rPh sb="0" eb="2">
      <t>シュウカク</t>
    </rPh>
    <rPh sb="2" eb="3">
      <t>ゴ</t>
    </rPh>
    <phoneticPr fontId="4"/>
  </si>
  <si>
    <t>定植前</t>
    <rPh sb="0" eb="2">
      <t>テイショク</t>
    </rPh>
    <rPh sb="2" eb="3">
      <t>マエ</t>
    </rPh>
    <phoneticPr fontId="4"/>
  </si>
  <si>
    <t>収穫後～採穂</t>
    <rPh sb="0" eb="2">
      <t>シュウカク</t>
    </rPh>
    <rPh sb="2" eb="3">
      <t>ゴ</t>
    </rPh>
    <rPh sb="4" eb="5">
      <t>サイ</t>
    </rPh>
    <rPh sb="5" eb="6">
      <t>ホ</t>
    </rPh>
    <phoneticPr fontId="4"/>
  </si>
  <si>
    <t>定植２～３週間前</t>
    <rPh sb="0" eb="2">
      <t>テイショク</t>
    </rPh>
    <rPh sb="5" eb="8">
      <t>シュウカンマエ</t>
    </rPh>
    <phoneticPr fontId="4"/>
  </si>
  <si>
    <t>挿し芽２～３週間後（４～６月）</t>
    <rPh sb="0" eb="1">
      <t>サ</t>
    </rPh>
    <rPh sb="2" eb="3">
      <t>メ</t>
    </rPh>
    <rPh sb="6" eb="9">
      <t>シュウカンゴ</t>
    </rPh>
    <rPh sb="13" eb="14">
      <t>ガツ</t>
    </rPh>
    <phoneticPr fontId="4"/>
  </si>
  <si>
    <t>脇芽取り･摘蕾　　（輪菊のみ実施）</t>
    <rPh sb="0" eb="2">
      <t>ワキメ</t>
    </rPh>
    <rPh sb="2" eb="3">
      <t>ト</t>
    </rPh>
    <rPh sb="5" eb="6">
      <t>テキ</t>
    </rPh>
    <rPh sb="6" eb="7">
      <t>ツボミ</t>
    </rPh>
    <rPh sb="10" eb="11">
      <t>リン</t>
    </rPh>
    <rPh sb="11" eb="12">
      <t>ギク</t>
    </rPh>
    <rPh sb="14" eb="16">
      <t>ジッシ</t>
    </rPh>
    <phoneticPr fontId="4"/>
  </si>
  <si>
    <t>きく乾燥機</t>
    <rPh sb="2" eb="5">
      <t>カンソウキ</t>
    </rPh>
    <phoneticPr fontId="4"/>
  </si>
  <si>
    <t>動力噴霧機</t>
    <phoneticPr fontId="4"/>
  </si>
  <si>
    <t>１０（輪）</t>
    <rPh sb="3" eb="4">
      <t>リン</t>
    </rPh>
    <phoneticPr fontId="4"/>
  </si>
  <si>
    <t>９  （輪）</t>
    <rPh sb="4" eb="5">
      <t>リン</t>
    </rPh>
    <phoneticPr fontId="4"/>
  </si>
  <si>
    <t>８  （輪）</t>
    <rPh sb="4" eb="5">
      <t>リン</t>
    </rPh>
    <phoneticPr fontId="4"/>
  </si>
  <si>
    <t>７  （輪）</t>
    <rPh sb="4" eb="5">
      <t>リン</t>
    </rPh>
    <phoneticPr fontId="4"/>
  </si>
  <si>
    <t>７  （小）</t>
    <rPh sb="4" eb="5">
      <t>ショウ</t>
    </rPh>
    <phoneticPr fontId="4"/>
  </si>
  <si>
    <t>８  （小）</t>
    <rPh sb="4" eb="5">
      <t>ショウ</t>
    </rPh>
    <phoneticPr fontId="4"/>
  </si>
  <si>
    <t>９  （小）</t>
    <rPh sb="4" eb="5">
      <t>ショウ</t>
    </rPh>
    <phoneticPr fontId="4"/>
  </si>
  <si>
    <t>１０  （小）</t>
    <rPh sb="5" eb="6">
      <t>ショウ</t>
    </rPh>
    <phoneticPr fontId="4"/>
  </si>
  <si>
    <t>本</t>
    <rPh sb="0" eb="1">
      <t>ホン</t>
    </rPh>
    <phoneticPr fontId="4"/>
  </si>
  <si>
    <t>袋</t>
    <rPh sb="0" eb="1">
      <t>フクロ</t>
    </rPh>
    <phoneticPr fontId="4"/>
  </si>
  <si>
    <t>８種類</t>
    <rPh sb="1" eb="3">
      <t>シュルイ</t>
    </rPh>
    <phoneticPr fontId="4"/>
  </si>
  <si>
    <t>１４種類</t>
    <rPh sb="2" eb="4">
      <t>シュルイ</t>
    </rPh>
    <phoneticPr fontId="4"/>
  </si>
  <si>
    <t>３種類</t>
    <rPh sb="1" eb="3">
      <t>シュルイ</t>
    </rPh>
    <phoneticPr fontId="4"/>
  </si>
  <si>
    <t>６種類</t>
    <rPh sb="1" eb="3">
      <t>シュルイ</t>
    </rPh>
    <phoneticPr fontId="4"/>
  </si>
  <si>
    <t>８　経費の算出基礎（きく，10a当たり）</t>
    <rPh sb="2" eb="4">
      <t>ケイヒ</t>
    </rPh>
    <rPh sb="5" eb="7">
      <t>サンシュツ</t>
    </rPh>
    <rPh sb="7" eb="9">
      <t>キソ</t>
    </rPh>
    <rPh sb="16" eb="17">
      <t>ア</t>
    </rPh>
    <phoneticPr fontId="4"/>
  </si>
  <si>
    <t>袋</t>
    <phoneticPr fontId="4"/>
  </si>
  <si>
    <t>１種類</t>
    <rPh sb="1" eb="3">
      <t>シュルイ</t>
    </rPh>
    <phoneticPr fontId="4"/>
  </si>
  <si>
    <t>２種類</t>
    <phoneticPr fontId="4"/>
  </si>
  <si>
    <t>１種類</t>
    <rPh sb="1" eb="3">
      <t>シュルイ</t>
    </rPh>
    <phoneticPr fontId="4"/>
  </si>
  <si>
    <t>マルチ(黒)</t>
    <rPh sb="4" eb="5">
      <t>クロ</t>
    </rPh>
    <phoneticPr fontId="4"/>
  </si>
  <si>
    <t>マルチ(白黒)</t>
    <rPh sb="4" eb="5">
      <t>シロ</t>
    </rPh>
    <rPh sb="5" eb="6">
      <t>クロ</t>
    </rPh>
    <phoneticPr fontId="4"/>
  </si>
  <si>
    <t>支柱</t>
    <rPh sb="0" eb="2">
      <t>シチュウ</t>
    </rPh>
    <phoneticPr fontId="4"/>
  </si>
  <si>
    <t>フラワーネット</t>
    <phoneticPr fontId="4"/>
  </si>
  <si>
    <t>ネット補強紐</t>
    <rPh sb="3" eb="5">
      <t>ホキョウ</t>
    </rPh>
    <rPh sb="5" eb="6">
      <t>ヒモ</t>
    </rPh>
    <phoneticPr fontId="4"/>
  </si>
  <si>
    <t>セル成型トレイ</t>
    <rPh sb="2" eb="4">
      <t>セイケイ</t>
    </rPh>
    <phoneticPr fontId="4"/>
  </si>
  <si>
    <t>防霜トンネルフィルム</t>
    <rPh sb="0" eb="2">
      <t>ボウソウ</t>
    </rPh>
    <phoneticPr fontId="4"/>
  </si>
  <si>
    <t>防霜小トンネル支柱</t>
    <rPh sb="0" eb="2">
      <t>ボウソウ</t>
    </rPh>
    <rPh sb="2" eb="3">
      <t>コ</t>
    </rPh>
    <rPh sb="7" eb="9">
      <t>シチュウ</t>
    </rPh>
    <phoneticPr fontId="4"/>
  </si>
  <si>
    <t>育苗用土</t>
    <rPh sb="0" eb="2">
      <t>イクビョウ</t>
    </rPh>
    <rPh sb="2" eb="4">
      <t>ヨウド</t>
    </rPh>
    <phoneticPr fontId="4"/>
  </si>
  <si>
    <t>クロス</t>
    <phoneticPr fontId="4"/>
  </si>
  <si>
    <t>200ｍ</t>
    <phoneticPr fontId="4"/>
  </si>
  <si>
    <t>200ｍ</t>
    <phoneticPr fontId="4"/>
  </si>
  <si>
    <t>１本</t>
    <rPh sb="1" eb="2">
      <t>ホン</t>
    </rPh>
    <phoneticPr fontId="4"/>
  </si>
  <si>
    <t>100ｍ</t>
    <phoneticPr fontId="4"/>
  </si>
  <si>
    <t>1300ｍ</t>
    <phoneticPr fontId="4"/>
  </si>
  <si>
    <t>１枚</t>
    <rPh sb="1" eb="2">
      <t>マイ</t>
    </rPh>
    <phoneticPr fontId="4"/>
  </si>
  <si>
    <t>1本</t>
    <rPh sb="1" eb="2">
      <t>ホン</t>
    </rPh>
    <phoneticPr fontId="4"/>
  </si>
  <si>
    <t>85ℓ</t>
    <phoneticPr fontId="4"/>
  </si>
  <si>
    <t>育苗ハウス張替ビニル</t>
    <rPh sb="0" eb="2">
      <t>イクビョウ</t>
    </rPh>
    <rPh sb="5" eb="7">
      <t>ハリカエ</t>
    </rPh>
    <phoneticPr fontId="4"/>
  </si>
  <si>
    <t>式</t>
    <rPh sb="0" eb="1">
      <t>シキ</t>
    </rPh>
    <phoneticPr fontId="4"/>
  </si>
  <si>
    <t>育苗トンネルフィルム</t>
    <rPh sb="0" eb="2">
      <t>イクビョウ</t>
    </rPh>
    <phoneticPr fontId="4"/>
  </si>
  <si>
    <t>育苗ﾄﾝﾈﾙ寒冷紗</t>
    <rPh sb="0" eb="2">
      <t>イクビョウ</t>
    </rPh>
    <rPh sb="6" eb="9">
      <t>カンレイシャ</t>
    </rPh>
    <phoneticPr fontId="4"/>
  </si>
  <si>
    <t>育苗ﾄﾝﾈﾙ支柱</t>
    <rPh sb="0" eb="2">
      <t>イクビョウ</t>
    </rPh>
    <rPh sb="6" eb="8">
      <t>シチュウ</t>
    </rPh>
    <phoneticPr fontId="4"/>
  </si>
  <si>
    <t>畦畔管理（草刈機）</t>
    <rPh sb="0" eb="2">
      <t>ケイハン</t>
    </rPh>
    <rPh sb="2" eb="4">
      <t>カンリ</t>
    </rPh>
    <rPh sb="5" eb="7">
      <t>クサカリ</t>
    </rPh>
    <rPh sb="7" eb="8">
      <t>キ</t>
    </rPh>
    <phoneticPr fontId="4"/>
  </si>
  <si>
    <t>防除(動力噴霧機)</t>
    <rPh sb="0" eb="2">
      <t>ボウジョ</t>
    </rPh>
    <rPh sb="3" eb="5">
      <t>ドウリョク</t>
    </rPh>
    <rPh sb="5" eb="7">
      <t>フンム</t>
    </rPh>
    <rPh sb="7" eb="8">
      <t>キ</t>
    </rPh>
    <phoneticPr fontId="4"/>
  </si>
  <si>
    <t>耕起･整地(ﾄﾗｸﾀｰ)</t>
    <rPh sb="0" eb="1">
      <t>タガヤ</t>
    </rPh>
    <rPh sb="1" eb="2">
      <t>オ</t>
    </rPh>
    <rPh sb="3" eb="5">
      <t>セイチ</t>
    </rPh>
    <phoneticPr fontId="4"/>
  </si>
  <si>
    <t>選花機</t>
    <rPh sb="0" eb="1">
      <t>セン</t>
    </rPh>
    <rPh sb="1" eb="2">
      <t>ハナ</t>
    </rPh>
    <rPh sb="2" eb="3">
      <t>キ</t>
    </rPh>
    <phoneticPr fontId="4"/>
  </si>
  <si>
    <t>結束機</t>
    <rPh sb="0" eb="2">
      <t>ケッソク</t>
    </rPh>
    <rPh sb="2" eb="3">
      <t>キ</t>
    </rPh>
    <phoneticPr fontId="4"/>
  </si>
  <si>
    <t>ℓ・kw／１０a</t>
    <phoneticPr fontId="4"/>
  </si>
  <si>
    <t>１０a機械</t>
    <phoneticPr fontId="4"/>
  </si>
  <si>
    <t>パイプハウス</t>
    <phoneticPr fontId="4"/>
  </si>
  <si>
    <t>㎡</t>
    <phoneticPr fontId="4"/>
  </si>
  <si>
    <t>10a/80a</t>
    <phoneticPr fontId="4"/>
  </si>
  <si>
    <t>７　経営収支（きく部門，10a当たり）</t>
    <rPh sb="9" eb="11">
      <t>ブモン</t>
    </rPh>
    <rPh sb="15" eb="16">
      <t>ア</t>
    </rPh>
    <phoneticPr fontId="4"/>
  </si>
  <si>
    <t>作業場</t>
    <rPh sb="0" eb="2">
      <t>サギョウ</t>
    </rPh>
    <rPh sb="2" eb="3">
      <t>バ</t>
    </rPh>
    <phoneticPr fontId="4"/>
  </si>
  <si>
    <t>資材農機具庫</t>
    <rPh sb="0" eb="2">
      <t>シザイ</t>
    </rPh>
    <rPh sb="2" eb="5">
      <t>ノウキグ</t>
    </rPh>
    <rPh sb="5" eb="6">
      <t>コ</t>
    </rPh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</si>
  <si>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</si>
  <si>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輪菊</t>
    <rPh sb="0" eb="1">
      <t>リン</t>
    </rPh>
    <rPh sb="1" eb="2">
      <t>ギク</t>
    </rPh>
    <phoneticPr fontId="4"/>
  </si>
  <si>
    <t>小菊</t>
    <rPh sb="0" eb="1">
      <t>コ</t>
    </rPh>
    <rPh sb="1" eb="2">
      <t>ギク</t>
    </rPh>
    <phoneticPr fontId="4"/>
  </si>
  <si>
    <t>品種</t>
    <rPh sb="0" eb="2">
      <t>ヒンシュ</t>
    </rPh>
    <phoneticPr fontId="4"/>
  </si>
  <si>
    <t>育苗管理</t>
    <rPh sb="0" eb="2">
      <t>イクビョウ</t>
    </rPh>
    <rPh sb="2" eb="4">
      <t>カンリ</t>
    </rPh>
    <phoneticPr fontId="4"/>
  </si>
  <si>
    <t>圃場準備</t>
    <rPh sb="0" eb="1">
      <t>ホ</t>
    </rPh>
    <rPh sb="1" eb="2">
      <t>ジョウ</t>
    </rPh>
    <rPh sb="2" eb="4">
      <t>ジュンビ</t>
    </rPh>
    <phoneticPr fontId="4"/>
  </si>
  <si>
    <t>摘芯・整枝</t>
    <rPh sb="0" eb="2">
      <t>テキシン</t>
    </rPh>
    <rPh sb="3" eb="4">
      <t>トトノ</t>
    </rPh>
    <rPh sb="4" eb="5">
      <t>エダ</t>
    </rPh>
    <phoneticPr fontId="4"/>
  </si>
  <si>
    <t>摘芽･摘蕾</t>
    <rPh sb="0" eb="1">
      <t>テキ</t>
    </rPh>
    <rPh sb="1" eb="2">
      <t>メ</t>
    </rPh>
    <rPh sb="3" eb="4">
      <t>テキ</t>
    </rPh>
    <rPh sb="4" eb="5">
      <t>ツボミ</t>
    </rPh>
    <phoneticPr fontId="4"/>
  </si>
  <si>
    <t>片づけ</t>
    <rPh sb="0" eb="1">
      <t>カタ</t>
    </rPh>
    <phoneticPr fontId="4"/>
  </si>
  <si>
    <t>きく</t>
    <phoneticPr fontId="4"/>
  </si>
  <si>
    <t>草刈機</t>
    <rPh sb="0" eb="2">
      <t>クサカリ</t>
    </rPh>
    <rPh sb="2" eb="3">
      <t>キ</t>
    </rPh>
    <phoneticPr fontId="4"/>
  </si>
  <si>
    <t>収穫カマ</t>
    <rPh sb="0" eb="2">
      <t>シュウカク</t>
    </rPh>
    <phoneticPr fontId="4"/>
  </si>
  <si>
    <t>収穫台車</t>
    <rPh sb="0" eb="2">
      <t>シュウカク</t>
    </rPh>
    <rPh sb="2" eb="4">
      <t>ダイシャ</t>
    </rPh>
    <phoneticPr fontId="4"/>
  </si>
  <si>
    <t>台</t>
    <rPh sb="0" eb="1">
      <t>ダイ</t>
    </rPh>
    <phoneticPr fontId="4"/>
  </si>
  <si>
    <t>個</t>
    <rPh sb="0" eb="1">
      <t>コ</t>
    </rPh>
    <phoneticPr fontId="4"/>
  </si>
  <si>
    <t>ﾏｽｸﾌｨﾙﾀｰ</t>
    <phoneticPr fontId="4"/>
  </si>
  <si>
    <t>平成25年</t>
    <phoneticPr fontId="4"/>
  </si>
  <si>
    <t>平成24年</t>
    <phoneticPr fontId="4"/>
  </si>
  <si>
    <t>平成23年</t>
    <phoneticPr fontId="4"/>
  </si>
  <si>
    <t>平成22年</t>
    <phoneticPr fontId="4"/>
  </si>
  <si>
    <t>平成21年</t>
    <phoneticPr fontId="4"/>
  </si>
  <si>
    <t>月別平均価格の推移</t>
    <phoneticPr fontId="4"/>
  </si>
  <si>
    <t>きく</t>
    <phoneticPr fontId="4"/>
  </si>
  <si>
    <t>輪ぎく</t>
    <rPh sb="0" eb="1">
      <t>リン</t>
    </rPh>
    <phoneticPr fontId="4"/>
  </si>
  <si>
    <t>（全産地）</t>
    <rPh sb="1" eb="2">
      <t>ゼン</t>
    </rPh>
    <rPh sb="2" eb="4">
      <t>サンチ</t>
    </rPh>
    <phoneticPr fontId="4"/>
  </si>
  <si>
    <t>小ぎく</t>
    <rPh sb="0" eb="1">
      <t>コ</t>
    </rPh>
    <phoneticPr fontId="4"/>
  </si>
  <si>
    <t>背負式動力噴霧器</t>
    <rPh sb="0" eb="2">
      <t>セオ</t>
    </rPh>
    <rPh sb="2" eb="3">
      <t>シキ</t>
    </rPh>
    <rPh sb="3" eb="5">
      <t>ドウリョク</t>
    </rPh>
    <rPh sb="5" eb="8">
      <t>フンムキ</t>
    </rPh>
    <phoneticPr fontId="4"/>
  </si>
  <si>
    <t>畦畔管理</t>
    <rPh sb="0" eb="2">
      <t>ケイハン</t>
    </rPh>
    <rPh sb="2" eb="4">
      <t>カンリ</t>
    </rPh>
    <phoneticPr fontId="4"/>
  </si>
  <si>
    <t>10m</t>
    <phoneticPr fontId="4"/>
  </si>
  <si>
    <t>木杭(畝端支柱)</t>
    <rPh sb="0" eb="1">
      <t>キ</t>
    </rPh>
    <rPh sb="1" eb="2">
      <t>クイ</t>
    </rPh>
    <rPh sb="3" eb="4">
      <t>ウネ</t>
    </rPh>
    <rPh sb="4" eb="5">
      <t>ハシ</t>
    </rPh>
    <rPh sb="5" eb="7">
      <t>シチュウ</t>
    </rPh>
    <phoneticPr fontId="4"/>
  </si>
  <si>
    <t>芽なし程度により～240</t>
    <rPh sb="0" eb="1">
      <t>メ</t>
    </rPh>
    <rPh sb="3" eb="5">
      <t>テイド</t>
    </rPh>
    <phoneticPr fontId="4"/>
  </si>
  <si>
    <t>育苗　　　　　　　　（挿芽～）</t>
    <rPh sb="0" eb="2">
      <t>イクビョウ</t>
    </rPh>
    <rPh sb="11" eb="12">
      <t>サ</t>
    </rPh>
    <rPh sb="12" eb="13">
      <t>メ</t>
    </rPh>
    <phoneticPr fontId="4"/>
  </si>
  <si>
    <t>1～7人</t>
    <rPh sb="3" eb="4">
      <t>ヒト</t>
    </rPh>
    <phoneticPr fontId="4"/>
  </si>
  <si>
    <t>殺菌剤・殺虫剤</t>
    <rPh sb="0" eb="3">
      <t>サッキンザイ</t>
    </rPh>
    <rPh sb="4" eb="7">
      <t>サッチュウザイ</t>
    </rPh>
    <phoneticPr fontId="4"/>
  </si>
  <si>
    <t>きく</t>
    <phoneticPr fontId="4"/>
  </si>
  <si>
    <t>３　標準技術（きく）</t>
    <rPh sb="2" eb="4">
      <t>ヒョウジュン</t>
    </rPh>
    <rPh sb="4" eb="6">
      <t>ギジュツ</t>
    </rPh>
    <phoneticPr fontId="4"/>
  </si>
  <si>
    <t>露地７～10月出荷</t>
    <rPh sb="0" eb="2">
      <t>ロジ</t>
    </rPh>
    <rPh sb="6" eb="7">
      <t>ツキ</t>
    </rPh>
    <rPh sb="7" eb="9">
      <t>シュッカ</t>
    </rPh>
    <phoneticPr fontId="4"/>
  </si>
  <si>
    <t>↓</t>
    <phoneticPr fontId="3"/>
  </si>
  <si>
    <t>2.5人</t>
    <rPh sb="3" eb="4">
      <t>ヒト</t>
    </rPh>
    <phoneticPr fontId="3"/>
  </si>
  <si>
    <t>温床ﾏｯﾄ(7月ｷｸ育苗)</t>
    <rPh sb="0" eb="2">
      <t>オンショウ</t>
    </rPh>
    <rPh sb="7" eb="8">
      <t>ガツ</t>
    </rPh>
    <rPh sb="10" eb="12">
      <t>イクビョウ</t>
    </rPh>
    <phoneticPr fontId="4"/>
  </si>
  <si>
    <t>ｶﾞｽﾊﾞｰﾅｰ(収穫ｶﾏ殺菌)</t>
    <rPh sb="9" eb="11">
      <t>シュウカク</t>
    </rPh>
    <rPh sb="13" eb="15">
      <t>サッキン</t>
    </rPh>
    <phoneticPr fontId="4"/>
  </si>
  <si>
    <t>防除ﾏｽｸ等</t>
    <rPh sb="0" eb="2">
      <t>ボウジョ</t>
    </rPh>
    <rPh sb="5" eb="6">
      <t>ナド</t>
    </rPh>
    <phoneticPr fontId="4"/>
  </si>
  <si>
    <t>きく</t>
    <phoneticPr fontId="4"/>
  </si>
  <si>
    <t>　　〃</t>
    <phoneticPr fontId="4"/>
  </si>
  <si>
    <t>収穫出荷(軽ﾄﾗｯｸ･運搬車)</t>
    <rPh sb="0" eb="2">
      <t>シュウカク</t>
    </rPh>
    <rPh sb="2" eb="4">
      <t>シュッカ</t>
    </rPh>
    <rPh sb="5" eb="6">
      <t>ケイ</t>
    </rPh>
    <rPh sb="11" eb="14">
      <t>ウンパンシャ</t>
    </rPh>
    <phoneticPr fontId="4"/>
  </si>
  <si>
    <t>堆肥･施肥(軽ﾄﾗｯｸ･運搬車)</t>
    <rPh sb="0" eb="2">
      <t>タイヒ</t>
    </rPh>
    <rPh sb="3" eb="5">
      <t>セヒ</t>
    </rPh>
    <rPh sb="6" eb="7">
      <t>ケイ</t>
    </rPh>
    <rPh sb="12" eb="15">
      <t>ウンパンシャ</t>
    </rPh>
    <phoneticPr fontId="4"/>
  </si>
  <si>
    <t>畝立て(管理機)</t>
    <rPh sb="0" eb="1">
      <t>ウネ</t>
    </rPh>
    <rPh sb="1" eb="2">
      <t>タ</t>
    </rPh>
    <rPh sb="4" eb="6">
      <t>カンリ</t>
    </rPh>
    <rPh sb="6" eb="7">
      <t>キ</t>
    </rPh>
    <phoneticPr fontId="4"/>
  </si>
  <si>
    <t>きく</t>
    <phoneticPr fontId="4"/>
  </si>
  <si>
    <t>きく専作</t>
    <rPh sb="2" eb="3">
      <t>セン</t>
    </rPh>
    <rPh sb="3" eb="4">
      <t>サク</t>
    </rPh>
    <phoneticPr fontId="3"/>
  </si>
  <si>
    <t>杭打機</t>
    <rPh sb="0" eb="2">
      <t>クイウ</t>
    </rPh>
    <rPh sb="2" eb="3">
      <t>キ</t>
    </rPh>
    <phoneticPr fontId="4"/>
  </si>
  <si>
    <t>↓</t>
    <phoneticPr fontId="4"/>
  </si>
  <si>
    <t>◎</t>
    <phoneticPr fontId="4"/>
  </si>
  <si>
    <t>×</t>
    <phoneticPr fontId="4"/>
  </si>
  <si>
    <t>　　↓</t>
    <phoneticPr fontId="4"/>
  </si>
  <si>
    <t>◎　×</t>
    <phoneticPr fontId="4"/>
  </si>
  <si>
    <t>↓：挿し芽　◎：定植　×：摘芯　■：収穫</t>
    <rPh sb="2" eb="3">
      <t>サ</t>
    </rPh>
    <rPh sb="4" eb="5">
      <t>メ</t>
    </rPh>
    <rPh sb="8" eb="10">
      <t>テイショク</t>
    </rPh>
    <rPh sb="13" eb="14">
      <t>テキ</t>
    </rPh>
    <rPh sb="14" eb="15">
      <t>シン</t>
    </rPh>
    <rPh sb="18" eb="20">
      <t>シュウカク</t>
    </rPh>
    <phoneticPr fontId="4"/>
  </si>
  <si>
    <t>5年間で18品種/80a導入時の10a･1年分の金額</t>
    <rPh sb="1" eb="3">
      <t>ネンカン</t>
    </rPh>
    <rPh sb="6" eb="8">
      <t>ヒンシュ</t>
    </rPh>
    <rPh sb="12" eb="14">
      <t>ドウニュウ</t>
    </rPh>
    <rPh sb="14" eb="15">
      <t>ジ</t>
    </rPh>
    <rPh sb="21" eb="23">
      <t>ネンブン</t>
    </rPh>
    <rPh sb="24" eb="26">
      <t>キンガク</t>
    </rPh>
    <phoneticPr fontId="4"/>
  </si>
  <si>
    <t>5年間で7品種/80a導入時の10a･1年分の金額</t>
    <rPh sb="1" eb="3">
      <t>ネンカン</t>
    </rPh>
    <rPh sb="5" eb="7">
      <t>ヒンシュ</t>
    </rPh>
    <rPh sb="11" eb="13">
      <t>ドウニュウ</t>
    </rPh>
    <rPh sb="13" eb="14">
      <t>ジ</t>
    </rPh>
    <rPh sb="20" eb="21">
      <t>ネン</t>
    </rPh>
    <rPh sb="21" eb="22">
      <t>ブン</t>
    </rPh>
    <rPh sb="23" eb="25">
      <t>キンガク</t>
    </rPh>
    <phoneticPr fontId="4"/>
  </si>
  <si>
    <t>冷蔵庫</t>
    <rPh sb="0" eb="3">
      <t>レイゾウコ</t>
    </rPh>
    <phoneticPr fontId="4"/>
  </si>
  <si>
    <t>プレハブ冷蔵庫</t>
    <rPh sb="4" eb="7">
      <t>レイゾウコ</t>
    </rPh>
    <phoneticPr fontId="4"/>
  </si>
  <si>
    <t>キク重量選別機</t>
    <rPh sb="2" eb="4">
      <t>ジュウリョウ</t>
    </rPh>
    <rPh sb="4" eb="6">
      <t>センベツ</t>
    </rPh>
    <rPh sb="6" eb="7">
      <t>キ</t>
    </rPh>
    <phoneticPr fontId="4"/>
  </si>
  <si>
    <t>下葉取り付</t>
    <rPh sb="0" eb="1">
      <t>シタ</t>
    </rPh>
    <rPh sb="1" eb="2">
      <t>ハ</t>
    </rPh>
    <rPh sb="2" eb="3">
      <t>トリ</t>
    </rPh>
    <rPh sb="4" eb="5">
      <t>ツキ</t>
    </rPh>
    <phoneticPr fontId="4"/>
  </si>
  <si>
    <t>自動紐掛機</t>
    <rPh sb="0" eb="2">
      <t>ジドウ</t>
    </rPh>
    <rPh sb="2" eb="3">
      <t>ヒモ</t>
    </rPh>
    <rPh sb="3" eb="4">
      <t>カ</t>
    </rPh>
    <rPh sb="4" eb="5">
      <t>キ</t>
    </rPh>
    <phoneticPr fontId="4"/>
  </si>
  <si>
    <t>花き結束機</t>
    <rPh sb="0" eb="1">
      <t>ハナ</t>
    </rPh>
    <rPh sb="2" eb="4">
      <t>ケッソク</t>
    </rPh>
    <rPh sb="4" eb="5">
      <t>キ</t>
    </rPh>
    <phoneticPr fontId="4"/>
  </si>
  <si>
    <t>自走式・ラジコン</t>
    <rPh sb="0" eb="3">
      <t>ジソウシキ</t>
    </rPh>
    <phoneticPr fontId="4"/>
  </si>
  <si>
    <t>動力運搬車</t>
    <rPh sb="0" eb="2">
      <t>ドウリョク</t>
    </rPh>
    <rPh sb="2" eb="5">
      <t>ウンパンシャ</t>
    </rPh>
    <phoneticPr fontId="4"/>
  </si>
  <si>
    <t>トラクター（+ロータリー）</t>
    <phoneticPr fontId="4"/>
  </si>
  <si>
    <t>汎用管理機（+ロータリー）</t>
    <rPh sb="0" eb="2">
      <t>ハンヨウ</t>
    </rPh>
    <rPh sb="2" eb="4">
      <t>カンリ</t>
    </rPh>
    <rPh sb="4" eb="5">
      <t>キ</t>
    </rPh>
    <phoneticPr fontId="4"/>
  </si>
  <si>
    <t>整枝以降適時</t>
    <rPh sb="0" eb="1">
      <t>トトノ</t>
    </rPh>
    <rPh sb="1" eb="2">
      <t>エダ</t>
    </rPh>
    <rPh sb="2" eb="4">
      <t>イコウ</t>
    </rPh>
    <rPh sb="4" eb="6">
      <t>テキジ</t>
    </rPh>
    <phoneticPr fontId="4"/>
  </si>
  <si>
    <t>個</t>
    <rPh sb="0" eb="1">
      <t>コ</t>
    </rPh>
    <phoneticPr fontId="4"/>
  </si>
  <si>
    <t>水揚げ用バケツ</t>
    <rPh sb="0" eb="2">
      <t>ミズア</t>
    </rPh>
    <rPh sb="3" eb="4">
      <t>ヨウ</t>
    </rPh>
    <phoneticPr fontId="4"/>
  </si>
  <si>
    <t>　■■■■■</t>
    <phoneticPr fontId="4"/>
  </si>
  <si>
    <t>　　■■■■■</t>
    <phoneticPr fontId="4"/>
  </si>
  <si>
    <t>　　　　■■■■■■</t>
    <phoneticPr fontId="4"/>
  </si>
  <si>
    <t>■■■■■■</t>
    <phoneticPr fontId="4"/>
  </si>
  <si>
    <t>5a</t>
    <phoneticPr fontId="3"/>
  </si>
  <si>
    <t>５　作業別・旬別作業時間</t>
    <phoneticPr fontId="4"/>
  </si>
  <si>
    <t>消費税</t>
    <rPh sb="0" eb="3">
      <t>ショウヒゼイ</t>
    </rPh>
    <phoneticPr fontId="4"/>
  </si>
  <si>
    <t>売上高×0.3×8%</t>
    <rPh sb="0" eb="2">
      <t>ウリアゲ</t>
    </rPh>
    <rPh sb="2" eb="3">
      <t>ダカ</t>
    </rPh>
    <phoneticPr fontId="4"/>
  </si>
  <si>
    <t>鉄骨スレート</t>
    <rPh sb="0" eb="2">
      <t>テッコツ</t>
    </rPh>
    <phoneticPr fontId="2"/>
  </si>
  <si>
    <t>鉄パイプ， ６×３３m</t>
    <phoneticPr fontId="4"/>
  </si>
  <si>
    <t>鉄パイプ， ６×３３m</t>
    <phoneticPr fontId="4"/>
  </si>
  <si>
    <t>販売額×14.5%</t>
    <rPh sb="0" eb="2">
      <t>ハンバイ</t>
    </rPh>
    <rPh sb="2" eb="3">
      <t>ガク</t>
    </rPh>
    <phoneticPr fontId="4"/>
  </si>
  <si>
    <t>出荷本数×2.1円+8%</t>
    <rPh sb="0" eb="2">
      <t>シュッカ</t>
    </rPh>
    <rPh sb="2" eb="4">
      <t>ホンスウ</t>
    </rPh>
    <rPh sb="8" eb="9">
      <t>エン</t>
    </rPh>
    <phoneticPr fontId="4"/>
  </si>
  <si>
    <t>アタッチメント：平高畝整形機</t>
    <rPh sb="8" eb="9">
      <t>ヒラ</t>
    </rPh>
    <rPh sb="9" eb="10">
      <t>タカ</t>
    </rPh>
    <rPh sb="10" eb="11">
      <t>ウネ</t>
    </rPh>
    <rPh sb="11" eb="13">
      <t>セイケイ</t>
    </rPh>
    <rPh sb="13" eb="14">
      <t>キ</t>
    </rPh>
    <phoneticPr fontId="4"/>
  </si>
  <si>
    <t>防除ﾏｽｸﾊﾞｯﾃﾘｰ</t>
    <rPh sb="0" eb="2">
      <t>ボウジョ</t>
    </rPh>
    <phoneticPr fontId="4"/>
  </si>
  <si>
    <t>個</t>
    <rPh sb="0" eb="1">
      <t>コ</t>
    </rPh>
    <phoneticPr fontId="4"/>
  </si>
  <si>
    <t>草丈20～30㎝の頃　　</t>
    <rPh sb="0" eb="2">
      <t>クサタケ</t>
    </rPh>
    <rPh sb="9" eb="10">
      <t>コロ</t>
    </rPh>
    <phoneticPr fontId="4"/>
  </si>
  <si>
    <t>パイプハウス</t>
    <phoneticPr fontId="4"/>
  </si>
  <si>
    <t>５年間に要する種苗費（25品種分）を１年間当たりの平均値に換算したもの。</t>
    <rPh sb="1" eb="3">
      <t>ネンカン</t>
    </rPh>
    <rPh sb="4" eb="5">
      <t>ヨウ</t>
    </rPh>
    <rPh sb="7" eb="9">
      <t>シュビョウ</t>
    </rPh>
    <rPh sb="9" eb="10">
      <t>ヒ</t>
    </rPh>
    <rPh sb="13" eb="15">
      <t>ヒンシュ</t>
    </rPh>
    <rPh sb="15" eb="16">
      <t>ブン</t>
    </rPh>
    <rPh sb="19" eb="21">
      <t>ネンカン</t>
    </rPh>
    <rPh sb="21" eb="22">
      <t>ア</t>
    </rPh>
    <rPh sb="25" eb="28">
      <t>ヘイキンチ</t>
    </rPh>
    <rPh sb="29" eb="31">
      <t>カンザン</t>
    </rPh>
    <phoneticPr fontId="4"/>
  </si>
  <si>
    <t>水田(輪作地含む)</t>
    <rPh sb="0" eb="2">
      <t>スイデン</t>
    </rPh>
    <rPh sb="3" eb="5">
      <t>リンサク</t>
    </rPh>
    <rPh sb="5" eb="6">
      <t>チ</t>
    </rPh>
    <rPh sb="6" eb="7">
      <t>フク</t>
    </rPh>
    <phoneticPr fontId="4"/>
  </si>
  <si>
    <t>※単価（含消費税５％）を含消費税８％に修正。</t>
    <rPh sb="1" eb="3">
      <t>タンカ</t>
    </rPh>
    <rPh sb="4" eb="5">
      <t>フク</t>
    </rPh>
    <rPh sb="5" eb="8">
      <t>ショウヒゼイ</t>
    </rPh>
    <rPh sb="12" eb="13">
      <t>フク</t>
    </rPh>
    <rPh sb="13" eb="16">
      <t>ショウヒゼイ</t>
    </rPh>
    <rPh sb="19" eb="21">
      <t>シュウセイ</t>
    </rPh>
    <phoneticPr fontId="4"/>
  </si>
  <si>
    <t>９　単価の算出基礎（円/本）</t>
    <rPh sb="2" eb="4">
      <t>タンカ</t>
    </rPh>
    <rPh sb="10" eb="11">
      <t>エン</t>
    </rPh>
    <rPh sb="12" eb="13">
      <t>ホン</t>
    </rPh>
    <phoneticPr fontId="4"/>
  </si>
  <si>
    <t>２～３坪（０℃～）</t>
    <rPh sb="3" eb="4">
      <t>ツボ</t>
    </rPh>
    <phoneticPr fontId="4"/>
  </si>
  <si>
    <t>出荷箱（217箱×210円），結束紐，荷造りテープ</t>
    <rPh sb="0" eb="2">
      <t>シュッカ</t>
    </rPh>
    <rPh sb="2" eb="3">
      <t>バコ</t>
    </rPh>
    <rPh sb="7" eb="8">
      <t>ハコ</t>
    </rPh>
    <rPh sb="12" eb="13">
      <t>エン</t>
    </rPh>
    <rPh sb="15" eb="17">
      <t>ケッソク</t>
    </rPh>
    <rPh sb="17" eb="18">
      <t>ヒモ</t>
    </rPh>
    <rPh sb="19" eb="21">
      <t>ニヅク</t>
    </rPh>
    <phoneticPr fontId="4"/>
  </si>
  <si>
    <t>輪菊31,500本（立茎3本/株　出荷率80%），小菊36,750本（立茎3.5本/株　出荷率80%）</t>
    <rPh sb="0" eb="1">
      <t>リン</t>
    </rPh>
    <rPh sb="1" eb="2">
      <t>ギク</t>
    </rPh>
    <rPh sb="8" eb="9">
      <t>ホン</t>
    </rPh>
    <rPh sb="10" eb="11">
      <t>タ</t>
    </rPh>
    <rPh sb="11" eb="12">
      <t>クキ</t>
    </rPh>
    <rPh sb="13" eb="14">
      <t>ホン</t>
    </rPh>
    <rPh sb="15" eb="16">
      <t>カブ</t>
    </rPh>
    <rPh sb="17" eb="19">
      <t>シュッカ</t>
    </rPh>
    <rPh sb="19" eb="20">
      <t>リツ</t>
    </rPh>
    <rPh sb="25" eb="26">
      <t>コ</t>
    </rPh>
    <rPh sb="26" eb="27">
      <t>ギク</t>
    </rPh>
    <rPh sb="33" eb="34">
      <t>ホン</t>
    </rPh>
    <rPh sb="35" eb="36">
      <t>タ</t>
    </rPh>
    <rPh sb="36" eb="37">
      <t>クキ</t>
    </rPh>
    <rPh sb="40" eb="41">
      <t>ホン</t>
    </rPh>
    <rPh sb="42" eb="43">
      <t>カブ</t>
    </rPh>
    <rPh sb="44" eb="46">
      <t>シュッカ</t>
    </rPh>
    <rPh sb="46" eb="47">
      <t>リツ</t>
    </rPh>
    <phoneticPr fontId="4"/>
  </si>
  <si>
    <t>中部・北部</t>
    <rPh sb="0" eb="2">
      <t>チュウブ</t>
    </rPh>
    <rPh sb="3" eb="5">
      <t>ホクブ</t>
    </rPh>
    <phoneticPr fontId="3"/>
  </si>
  <si>
    <t>輪菊（無側枝性品種主体）８割，小菊２割</t>
    <rPh sb="0" eb="1">
      <t>リン</t>
    </rPh>
    <rPh sb="1" eb="2">
      <t>ギク</t>
    </rPh>
    <rPh sb="3" eb="4">
      <t>ム</t>
    </rPh>
    <rPh sb="4" eb="6">
      <t>ソクシ</t>
    </rPh>
    <rPh sb="6" eb="7">
      <t>セイ</t>
    </rPh>
    <rPh sb="7" eb="9">
      <t>ヒンシュ</t>
    </rPh>
    <rPh sb="9" eb="11">
      <t>シュタイ</t>
    </rPh>
    <rPh sb="13" eb="14">
      <t>ワリ</t>
    </rPh>
    <rPh sb="15" eb="16">
      <t>コ</t>
    </rPh>
    <rPh sb="16" eb="17">
      <t>ギク</t>
    </rPh>
    <rPh sb="18" eb="19">
      <t>ワリ</t>
    </rPh>
    <phoneticPr fontId="3"/>
  </si>
  <si>
    <t>自家育苗・露地（季咲中心）栽培</t>
    <rPh sb="0" eb="2">
      <t>ジカ</t>
    </rPh>
    <rPh sb="2" eb="4">
      <t>イクビョウ</t>
    </rPh>
    <rPh sb="5" eb="7">
      <t>ロジ</t>
    </rPh>
    <rPh sb="8" eb="9">
      <t>キ</t>
    </rPh>
    <rPh sb="9" eb="10">
      <t>ザキ</t>
    </rPh>
    <rPh sb="10" eb="12">
      <t>チュウシン</t>
    </rPh>
    <rPh sb="13" eb="15">
      <t>サイバイ</t>
    </rPh>
    <phoneticPr fontId="3"/>
  </si>
  <si>
    <t>経営開始時，規模拡大時に多くの費用が必要（種苗費，所材料費）　　　　　　　　　　　　　　　　　　　　
水稲との輪作による連作障害対策
病害虫防除の徹底
各栽培管理の適期実施
多忙期の雇用労力確保</t>
    <rPh sb="0" eb="2">
      <t>ケイエイ</t>
    </rPh>
    <rPh sb="2" eb="4">
      <t>カイシ</t>
    </rPh>
    <rPh sb="4" eb="5">
      <t>ジ</t>
    </rPh>
    <rPh sb="6" eb="8">
      <t>キボ</t>
    </rPh>
    <rPh sb="8" eb="10">
      <t>カクダイ</t>
    </rPh>
    <rPh sb="10" eb="11">
      <t>ジ</t>
    </rPh>
    <rPh sb="12" eb="13">
      <t>オオ</t>
    </rPh>
    <rPh sb="15" eb="17">
      <t>ヒヨウ</t>
    </rPh>
    <rPh sb="18" eb="20">
      <t>ヒツヨウ</t>
    </rPh>
    <rPh sb="21" eb="23">
      <t>シュビョウ</t>
    </rPh>
    <rPh sb="23" eb="24">
      <t>ヒ</t>
    </rPh>
    <rPh sb="25" eb="26">
      <t>ショ</t>
    </rPh>
    <rPh sb="26" eb="29">
      <t>ザイリョウヒ</t>
    </rPh>
    <rPh sb="51" eb="53">
      <t>スイトウ</t>
    </rPh>
    <rPh sb="55" eb="57">
      <t>リンサク</t>
    </rPh>
    <rPh sb="60" eb="62">
      <t>レンサク</t>
    </rPh>
    <rPh sb="62" eb="64">
      <t>ショウガイ</t>
    </rPh>
    <rPh sb="64" eb="66">
      <t>タイサク</t>
    </rPh>
    <rPh sb="67" eb="70">
      <t>ビョウガイチュウ</t>
    </rPh>
    <rPh sb="70" eb="72">
      <t>ボウジョ</t>
    </rPh>
    <rPh sb="73" eb="75">
      <t>テッテイ</t>
    </rPh>
    <rPh sb="76" eb="77">
      <t>カク</t>
    </rPh>
    <rPh sb="77" eb="79">
      <t>サイバイ</t>
    </rPh>
    <rPh sb="79" eb="81">
      <t>カンリ</t>
    </rPh>
    <rPh sb="82" eb="84">
      <t>テッキ</t>
    </rPh>
    <rPh sb="84" eb="86">
      <t>ジッシ</t>
    </rPh>
    <rPh sb="87" eb="89">
      <t>タボウ</t>
    </rPh>
    <rPh sb="89" eb="90">
      <t>キ</t>
    </rPh>
    <rPh sb="91" eb="93">
      <t>コヨウ</t>
    </rPh>
    <rPh sb="93" eb="95">
      <t>ロウリョク</t>
    </rPh>
    <rPh sb="95" eb="97">
      <t>カクホ</t>
    </rPh>
    <phoneticPr fontId="3"/>
  </si>
  <si>
    <t>圃場（事前に堆肥，土壌改良資材を混和）に基肥施用後耕起畝立（畝幅140㎝，畝高30㎝程度）　　　　　　　　　畝が充分湿っている状態でﾏﾙﾁ被覆
支柱（目安２ｍ間隔）とﾌﾗﾜｰﾈｯﾄを設置</t>
    <rPh sb="3" eb="5">
      <t>ジゼン</t>
    </rPh>
    <rPh sb="6" eb="8">
      <t>タイヒ</t>
    </rPh>
    <rPh sb="9" eb="11">
      <t>ドジョウ</t>
    </rPh>
    <rPh sb="11" eb="13">
      <t>カイリョウ</t>
    </rPh>
    <rPh sb="13" eb="15">
      <t>シザイ</t>
    </rPh>
    <rPh sb="16" eb="18">
      <t>コンワ</t>
    </rPh>
    <rPh sb="20" eb="22">
      <t>モトゴエ</t>
    </rPh>
    <rPh sb="22" eb="24">
      <t>セヨウ</t>
    </rPh>
    <rPh sb="24" eb="25">
      <t>ゴ</t>
    </rPh>
    <rPh sb="25" eb="26">
      <t>タガヤ</t>
    </rPh>
    <rPh sb="26" eb="27">
      <t>オ</t>
    </rPh>
    <rPh sb="27" eb="28">
      <t>ウネ</t>
    </rPh>
    <rPh sb="28" eb="29">
      <t>タ</t>
    </rPh>
    <rPh sb="30" eb="31">
      <t>ウネ</t>
    </rPh>
    <rPh sb="31" eb="32">
      <t>ハバ</t>
    </rPh>
    <rPh sb="37" eb="38">
      <t>ウネ</t>
    </rPh>
    <rPh sb="38" eb="39">
      <t>タカ</t>
    </rPh>
    <rPh sb="42" eb="44">
      <t>テイド</t>
    </rPh>
    <rPh sb="54" eb="55">
      <t>ウネ</t>
    </rPh>
    <rPh sb="56" eb="58">
      <t>ジュウブン</t>
    </rPh>
    <rPh sb="58" eb="59">
      <t>シメ</t>
    </rPh>
    <rPh sb="63" eb="65">
      <t>ジョウタイ</t>
    </rPh>
    <rPh sb="69" eb="71">
      <t>ヒフク</t>
    </rPh>
    <rPh sb="72" eb="74">
      <t>シチュウ</t>
    </rPh>
    <rPh sb="75" eb="77">
      <t>メヤス</t>
    </rPh>
    <rPh sb="79" eb="81">
      <t>カンカク</t>
    </rPh>
    <rPh sb="91" eb="93">
      <t>セッチ</t>
    </rPh>
    <phoneticPr fontId="4"/>
  </si>
  <si>
    <t>ﾌﾗﾜｰﾈｯﾄの桝目を目安にして,ﾏﾙﾁにｽﾘｯﾄ状の切込を入れ(植穴をあけ)定植（株間10㎝，2条/畝）
定植後，すぐに植穴にしっかり灌水</t>
    <rPh sb="8" eb="10">
      <t>マスメ</t>
    </rPh>
    <rPh sb="11" eb="13">
      <t>メヤス</t>
    </rPh>
    <rPh sb="25" eb="26">
      <t>ジョウ</t>
    </rPh>
    <rPh sb="27" eb="28">
      <t>キ</t>
    </rPh>
    <rPh sb="28" eb="29">
      <t>コミ</t>
    </rPh>
    <rPh sb="30" eb="31">
      <t>イ</t>
    </rPh>
    <rPh sb="33" eb="35">
      <t>ウエアナ</t>
    </rPh>
    <rPh sb="39" eb="41">
      <t>テイショク</t>
    </rPh>
    <rPh sb="42" eb="43">
      <t>カブ</t>
    </rPh>
    <rPh sb="43" eb="44">
      <t>マ</t>
    </rPh>
    <rPh sb="49" eb="50">
      <t>ジョウ</t>
    </rPh>
    <rPh sb="51" eb="52">
      <t>ウネ</t>
    </rPh>
    <rPh sb="54" eb="56">
      <t>テイショク</t>
    </rPh>
    <rPh sb="56" eb="57">
      <t>ゴ</t>
    </rPh>
    <rPh sb="61" eb="63">
      <t>ウエアナ</t>
    </rPh>
    <rPh sb="68" eb="70">
      <t>カンスイ</t>
    </rPh>
    <phoneticPr fontId="4"/>
  </si>
  <si>
    <t>定植後，根が活着したころ成長点を摘む</t>
    <rPh sb="0" eb="2">
      <t>テイショク</t>
    </rPh>
    <rPh sb="2" eb="3">
      <t>ゴ</t>
    </rPh>
    <rPh sb="4" eb="5">
      <t>ネ</t>
    </rPh>
    <rPh sb="6" eb="8">
      <t>カッチャク</t>
    </rPh>
    <rPh sb="12" eb="14">
      <t>セイチョウ</t>
    </rPh>
    <rPh sb="14" eb="15">
      <t>テン</t>
    </rPh>
    <rPh sb="16" eb="17">
      <t>ツ</t>
    </rPh>
    <phoneticPr fontId="4"/>
  </si>
  <si>
    <t>摘芯後，伸長してきた側枝を３～４本/株に整理
下葉取り</t>
    <rPh sb="0" eb="2">
      <t>テキシン</t>
    </rPh>
    <rPh sb="2" eb="3">
      <t>ゴ</t>
    </rPh>
    <rPh sb="4" eb="6">
      <t>シンチョウ</t>
    </rPh>
    <rPh sb="10" eb="12">
      <t>ソクシ</t>
    </rPh>
    <rPh sb="16" eb="17">
      <t>ホン</t>
    </rPh>
    <rPh sb="18" eb="19">
      <t>カブ</t>
    </rPh>
    <rPh sb="20" eb="22">
      <t>セイリ</t>
    </rPh>
    <rPh sb="23" eb="24">
      <t>シタ</t>
    </rPh>
    <rPh sb="24" eb="25">
      <t>ハ</t>
    </rPh>
    <rPh sb="25" eb="26">
      <t>ト</t>
    </rPh>
    <phoneticPr fontId="4"/>
  </si>
  <si>
    <t>頂花蕾以外の，脇芽，蕾を摘む</t>
    <rPh sb="0" eb="1">
      <t>イタダキ</t>
    </rPh>
    <rPh sb="1" eb="2">
      <t>ハナ</t>
    </rPh>
    <rPh sb="2" eb="3">
      <t>ツボミ</t>
    </rPh>
    <rPh sb="3" eb="5">
      <t>イガイ</t>
    </rPh>
    <rPh sb="7" eb="9">
      <t>ワキメ</t>
    </rPh>
    <rPh sb="10" eb="11">
      <t>ツボミ</t>
    </rPh>
    <rPh sb="12" eb="13">
      <t>ツ</t>
    </rPh>
    <phoneticPr fontId="4"/>
  </si>
  <si>
    <t>収穫適期（目安：蕾着色期～花弁展開前）に収穫</t>
    <rPh sb="0" eb="2">
      <t>シュウカク</t>
    </rPh>
    <rPh sb="2" eb="4">
      <t>テッキ</t>
    </rPh>
    <rPh sb="5" eb="7">
      <t>メヤス</t>
    </rPh>
    <rPh sb="8" eb="9">
      <t>ツボミ</t>
    </rPh>
    <rPh sb="9" eb="11">
      <t>チャクショク</t>
    </rPh>
    <rPh sb="11" eb="12">
      <t>キ</t>
    </rPh>
    <rPh sb="13" eb="15">
      <t>カベン</t>
    </rPh>
    <rPh sb="15" eb="17">
      <t>テンカイ</t>
    </rPh>
    <rPh sb="17" eb="18">
      <t>マエ</t>
    </rPh>
    <rPh sb="20" eb="22">
      <t>シュウカク</t>
    </rPh>
    <phoneticPr fontId="4"/>
  </si>
  <si>
    <t>規格に従い，選花，結束，箱詰め後出荷</t>
    <rPh sb="0" eb="2">
      <t>キカク</t>
    </rPh>
    <rPh sb="3" eb="4">
      <t>シタガ</t>
    </rPh>
    <rPh sb="6" eb="7">
      <t>セン</t>
    </rPh>
    <rPh sb="7" eb="8">
      <t>ハナ</t>
    </rPh>
    <rPh sb="9" eb="11">
      <t>ケッソク</t>
    </rPh>
    <rPh sb="12" eb="14">
      <t>ハコヅ</t>
    </rPh>
    <rPh sb="15" eb="16">
      <t>ゴ</t>
    </rPh>
    <rPh sb="16" eb="18">
      <t>シュッカ</t>
    </rPh>
    <phoneticPr fontId="4"/>
  </si>
  <si>
    <t>予防散布を中心として定期的に農薬散布
病徴や害虫の早期発見
初発の徹底防除</t>
    <rPh sb="0" eb="2">
      <t>ヨボウ</t>
    </rPh>
    <rPh sb="2" eb="4">
      <t>サンプ</t>
    </rPh>
    <rPh sb="5" eb="7">
      <t>チュウシン</t>
    </rPh>
    <rPh sb="10" eb="12">
      <t>テイキ</t>
    </rPh>
    <rPh sb="12" eb="13">
      <t>テキ</t>
    </rPh>
    <rPh sb="14" eb="16">
      <t>ノウヤク</t>
    </rPh>
    <rPh sb="16" eb="18">
      <t>サンプ</t>
    </rPh>
    <rPh sb="19" eb="20">
      <t>ビョウ</t>
    </rPh>
    <rPh sb="20" eb="21">
      <t>シルシ</t>
    </rPh>
    <rPh sb="22" eb="24">
      <t>ガイチュウ</t>
    </rPh>
    <rPh sb="25" eb="27">
      <t>ソウキ</t>
    </rPh>
    <rPh sb="27" eb="29">
      <t>ハッケン</t>
    </rPh>
    <rPh sb="30" eb="32">
      <t>ショハツ</t>
    </rPh>
    <rPh sb="33" eb="35">
      <t>テッテイ</t>
    </rPh>
    <rPh sb="35" eb="37">
      <t>ボウジョ</t>
    </rPh>
    <phoneticPr fontId="4"/>
  </si>
  <si>
    <t>かぎ挿し，切下株の伏込みで伸びた冬至芽を随時摘芯
挿し芽して穂木を確保</t>
    <rPh sb="2" eb="3">
      <t>ザ</t>
    </rPh>
    <rPh sb="5" eb="6">
      <t>キリ</t>
    </rPh>
    <rPh sb="6" eb="7">
      <t>シタ</t>
    </rPh>
    <rPh sb="7" eb="8">
      <t>カブ</t>
    </rPh>
    <rPh sb="9" eb="10">
      <t>フ</t>
    </rPh>
    <rPh sb="10" eb="11">
      <t>コ</t>
    </rPh>
    <rPh sb="13" eb="14">
      <t>ノ</t>
    </rPh>
    <rPh sb="16" eb="18">
      <t>トウジ</t>
    </rPh>
    <rPh sb="18" eb="19">
      <t>メ</t>
    </rPh>
    <rPh sb="20" eb="22">
      <t>ズイジ</t>
    </rPh>
    <rPh sb="22" eb="24">
      <t>テキシン</t>
    </rPh>
    <rPh sb="25" eb="26">
      <t>サ</t>
    </rPh>
    <rPh sb="27" eb="28">
      <t>メ</t>
    </rPh>
    <rPh sb="30" eb="31">
      <t>ホ</t>
    </rPh>
    <rPh sb="31" eb="32">
      <t>キ</t>
    </rPh>
    <rPh sb="33" eb="35">
      <t>カクホ</t>
    </rPh>
    <phoneticPr fontId="4"/>
  </si>
  <si>
    <t>ｾﾙﾄﾚｲに育苗用土を詰め,予め充分灌水
挿し芽後充分灌水
育苗期間中，こまめに温度，日射，水分管理　　　　</t>
    <rPh sb="6" eb="8">
      <t>イクビョウ</t>
    </rPh>
    <rPh sb="8" eb="10">
      <t>ヨウド</t>
    </rPh>
    <rPh sb="11" eb="12">
      <t>ツ</t>
    </rPh>
    <rPh sb="14" eb="15">
      <t>アラカジ</t>
    </rPh>
    <rPh sb="16" eb="18">
      <t>ジュウブン</t>
    </rPh>
    <rPh sb="18" eb="20">
      <t>カンスイ</t>
    </rPh>
    <rPh sb="21" eb="22">
      <t>サ</t>
    </rPh>
    <rPh sb="23" eb="24">
      <t>メ</t>
    </rPh>
    <rPh sb="24" eb="25">
      <t>ノチ</t>
    </rPh>
    <rPh sb="25" eb="27">
      <t>ジュウブン</t>
    </rPh>
    <rPh sb="27" eb="29">
      <t>カンスイ</t>
    </rPh>
    <rPh sb="30" eb="32">
      <t>イクビョウ</t>
    </rPh>
    <rPh sb="32" eb="35">
      <t>キカンチュウ</t>
    </rPh>
    <rPh sb="40" eb="42">
      <t>オンド</t>
    </rPh>
    <rPh sb="43" eb="45">
      <t>ニッシャ</t>
    </rPh>
    <rPh sb="46" eb="48">
      <t>スイブン</t>
    </rPh>
    <rPh sb="48" eb="50">
      <t>カンリ</t>
    </rPh>
    <phoneticPr fontId="4"/>
  </si>
  <si>
    <t>トラクター
管理機　　　　　　　　
杭打機　　　　　　　　
軽トラックまたは動力運搬車</t>
    <rPh sb="6" eb="8">
      <t>カンリ</t>
    </rPh>
    <rPh sb="8" eb="9">
      <t>キ</t>
    </rPh>
    <rPh sb="18" eb="20">
      <t>クイウ</t>
    </rPh>
    <rPh sb="20" eb="21">
      <t>キ</t>
    </rPh>
    <rPh sb="30" eb="31">
      <t>ケイ</t>
    </rPh>
    <rPh sb="38" eb="40">
      <t>ドウリョク</t>
    </rPh>
    <rPh sb="40" eb="41">
      <t>ウン</t>
    </rPh>
    <rPh sb="41" eb="42">
      <t>ハン</t>
    </rPh>
    <rPh sb="42" eb="43">
      <t>シャ</t>
    </rPh>
    <phoneticPr fontId="4"/>
  </si>
  <si>
    <t>軽トラックまたは動力運搬車</t>
    <rPh sb="0" eb="1">
      <t>ケイ</t>
    </rPh>
    <rPh sb="8" eb="10">
      <t>ドウリョク</t>
    </rPh>
    <rPh sb="10" eb="13">
      <t>ウンパンシャ</t>
    </rPh>
    <phoneticPr fontId="4"/>
  </si>
  <si>
    <t>動力噴霧機　　　　
軽トラックまたは動力運搬車</t>
    <rPh sb="0" eb="2">
      <t>ドウリョク</t>
    </rPh>
    <rPh sb="2" eb="4">
      <t>フンム</t>
    </rPh>
    <rPh sb="4" eb="5">
      <t>キ</t>
    </rPh>
    <rPh sb="10" eb="11">
      <t>ケイ</t>
    </rPh>
    <rPh sb="18" eb="20">
      <t>ドウリョク</t>
    </rPh>
    <rPh sb="20" eb="23">
      <t>ウンパンシャ</t>
    </rPh>
    <phoneticPr fontId="4"/>
  </si>
  <si>
    <t>育苗ハウス
背負式動噴　　　　　
動力噴霧機</t>
    <rPh sb="0" eb="2">
      <t>イクビョウ</t>
    </rPh>
    <rPh sb="6" eb="8">
      <t>セオ</t>
    </rPh>
    <rPh sb="8" eb="9">
      <t>シキ</t>
    </rPh>
    <rPh sb="9" eb="11">
      <t>ドウフン</t>
    </rPh>
    <rPh sb="17" eb="19">
      <t>ドウリョク</t>
    </rPh>
    <rPh sb="19" eb="21">
      <t>フンム</t>
    </rPh>
    <rPh sb="21" eb="22">
      <t>キ</t>
    </rPh>
    <phoneticPr fontId="4"/>
  </si>
  <si>
    <t>育苗ハウス</t>
    <rPh sb="0" eb="2">
      <t>イクビョウ</t>
    </rPh>
    <phoneticPr fontId="4"/>
  </si>
  <si>
    <t>堆肥　　    　2～3ｔ　　　　　　　　　基肥 N成分約20kg　　　　　　　　マルチ     約700m　　　　　　　　支柱　     約650本　　　　　　　    　　ﾌﾗﾜｰﾈｯﾄ  約700m　　　　　　　　　ﾈｯﾄ留板    約70枚　</t>
    <rPh sb="0" eb="2">
      <t>タイヒ</t>
    </rPh>
    <rPh sb="22" eb="24">
      <t>モトゴエ</t>
    </rPh>
    <rPh sb="26" eb="28">
      <t>セイブン</t>
    </rPh>
    <rPh sb="28" eb="29">
      <t>ヤク</t>
    </rPh>
    <rPh sb="49" eb="50">
      <t>ヤク</t>
    </rPh>
    <rPh sb="62" eb="64">
      <t>シチュウ</t>
    </rPh>
    <rPh sb="70" eb="71">
      <t>ヤク</t>
    </rPh>
    <rPh sb="74" eb="75">
      <t>ホン</t>
    </rPh>
    <rPh sb="97" eb="98">
      <t>ヤク</t>
    </rPh>
    <rPh sb="114" eb="115">
      <t>ト</t>
    </rPh>
    <rPh sb="115" eb="116">
      <t>イタ</t>
    </rPh>
    <rPh sb="120" eb="121">
      <t>ヤク</t>
    </rPh>
    <rPh sb="123" eb="124">
      <t>マイ</t>
    </rPh>
    <phoneticPr fontId="4"/>
  </si>
  <si>
    <t>花首伸長抑制剤　　　</t>
    <rPh sb="0" eb="1">
      <t>ハナ</t>
    </rPh>
    <rPh sb="1" eb="2">
      <t>クビ</t>
    </rPh>
    <rPh sb="2" eb="4">
      <t>シンチョウ</t>
    </rPh>
    <rPh sb="4" eb="6">
      <t>ヨクセイ</t>
    </rPh>
    <rPh sb="6" eb="7">
      <t>ザイ</t>
    </rPh>
    <phoneticPr fontId="4"/>
  </si>
  <si>
    <t>出荷箱　約210箱　　　　　　　　結束紐　　　　　　　　
ガムテープ</t>
    <rPh sb="0" eb="2">
      <t>シュッカ</t>
    </rPh>
    <rPh sb="2" eb="3">
      <t>バコ</t>
    </rPh>
    <rPh sb="4" eb="5">
      <t>ヤク</t>
    </rPh>
    <rPh sb="8" eb="9">
      <t>ハコ</t>
    </rPh>
    <rPh sb="17" eb="19">
      <t>ケッソク</t>
    </rPh>
    <rPh sb="19" eb="20">
      <t>ヒモ</t>
    </rPh>
    <phoneticPr fontId="4"/>
  </si>
  <si>
    <t>保温小ﾄﾝﾈﾙ　　　
（親株ﾋﾞﾆﾙﾊｳｽ）</t>
    <rPh sb="0" eb="2">
      <t>ホオン</t>
    </rPh>
    <rPh sb="2" eb="3">
      <t>コ</t>
    </rPh>
    <rPh sb="12" eb="14">
      <t>オヤカブ</t>
    </rPh>
    <phoneticPr fontId="4"/>
  </si>
  <si>
    <t>ｾﾙ成型ﾄﾚｲ 約40枚 　 
育苗用土 　約100ℓ　　
水稲育苗箱約40枚
発根促進剤
保温小ﾄﾝﾈﾙ
寒冷紗</t>
    <rPh sb="2" eb="4">
      <t>セイケイ</t>
    </rPh>
    <rPh sb="8" eb="9">
      <t>ヤク</t>
    </rPh>
    <rPh sb="11" eb="12">
      <t>マイ</t>
    </rPh>
    <rPh sb="16" eb="18">
      <t>イクビョウ</t>
    </rPh>
    <rPh sb="18" eb="20">
      <t>ヨウド</t>
    </rPh>
    <rPh sb="22" eb="23">
      <t>ヤク</t>
    </rPh>
    <rPh sb="30" eb="32">
      <t>スイトウ</t>
    </rPh>
    <rPh sb="32" eb="34">
      <t>イクビョウ</t>
    </rPh>
    <rPh sb="34" eb="35">
      <t>ハコ</t>
    </rPh>
    <rPh sb="35" eb="36">
      <t>ヤク</t>
    </rPh>
    <rPh sb="38" eb="39">
      <t>マイ</t>
    </rPh>
    <rPh sb="40" eb="42">
      <t>ハッコン</t>
    </rPh>
    <rPh sb="42" eb="45">
      <t>ソクシンザイ</t>
    </rPh>
    <rPh sb="46" eb="48">
      <t>ホオン</t>
    </rPh>
    <rPh sb="48" eb="49">
      <t>コ</t>
    </rPh>
    <rPh sb="54" eb="57">
      <t>カンレイシャ</t>
    </rPh>
    <phoneticPr fontId="4"/>
  </si>
  <si>
    <t>防霜小ﾄﾝﾈﾙ　　　　（～8月ｷｸ）　　　</t>
    <rPh sb="0" eb="1">
      <t>フセ</t>
    </rPh>
    <rPh sb="1" eb="2">
      <t>シモ</t>
    </rPh>
    <rPh sb="2" eb="3">
      <t>コ</t>
    </rPh>
    <rPh sb="14" eb="15">
      <t>ガツ</t>
    </rPh>
    <phoneticPr fontId="4"/>
  </si>
  <si>
    <t>20ps　中古</t>
    <rPh sb="5" eb="7">
      <t>チュウコ</t>
    </rPh>
    <phoneticPr fontId="4"/>
  </si>
  <si>
    <t>660cc4WD中古</t>
    <rPh sb="8" eb="10">
      <t>チュウコ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</si>
  <si>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</si>
  <si>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</si>
  <si>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</si>
  <si>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.</t>
    <phoneticPr fontId="4"/>
  </si>
  <si>
    <t>適度な土壌水分状態のときに耕起する。
春の耕起が難しい作型では，秋に耕起，施肥，ﾏﾙﾁ被覆する。</t>
    <rPh sb="0" eb="2">
      <t>テキド</t>
    </rPh>
    <rPh sb="3" eb="5">
      <t>ドジョウ</t>
    </rPh>
    <rPh sb="5" eb="7">
      <t>スイブン</t>
    </rPh>
    <rPh sb="7" eb="9">
      <t>ジョウタイ</t>
    </rPh>
    <rPh sb="13" eb="14">
      <t>タガヤ</t>
    </rPh>
    <rPh sb="14" eb="15">
      <t>オ</t>
    </rPh>
    <rPh sb="19" eb="20">
      <t>ハル</t>
    </rPh>
    <rPh sb="21" eb="22">
      <t>タガヤ</t>
    </rPh>
    <rPh sb="22" eb="23">
      <t>オ</t>
    </rPh>
    <rPh sb="24" eb="25">
      <t>ムズカ</t>
    </rPh>
    <rPh sb="27" eb="28">
      <t>サク</t>
    </rPh>
    <rPh sb="28" eb="29">
      <t>カタ</t>
    </rPh>
    <rPh sb="32" eb="33">
      <t>アキ</t>
    </rPh>
    <rPh sb="34" eb="35">
      <t>タガヤ</t>
    </rPh>
    <rPh sb="35" eb="36">
      <t>オ</t>
    </rPh>
    <rPh sb="37" eb="39">
      <t>セヒ</t>
    </rPh>
    <rPh sb="43" eb="45">
      <t>ヒフク</t>
    </rPh>
    <phoneticPr fontId="4"/>
  </si>
  <si>
    <t>定植作業前後に苗の根が乾燥しないように注意する。</t>
    <rPh sb="0" eb="2">
      <t>テイショク</t>
    </rPh>
    <rPh sb="2" eb="4">
      <t>サギョウ</t>
    </rPh>
    <rPh sb="4" eb="6">
      <t>ゼンゴ</t>
    </rPh>
    <rPh sb="7" eb="8">
      <t>ナエ</t>
    </rPh>
    <rPh sb="9" eb="10">
      <t>ネ</t>
    </rPh>
    <rPh sb="11" eb="13">
      <t>カンソウ</t>
    </rPh>
    <rPh sb="19" eb="21">
      <t>チュウイ</t>
    </rPh>
    <phoneticPr fontId="4"/>
  </si>
  <si>
    <t>摘み残しがないよう注意する。
温度の低い時間帯に行うと日中よりも作業が容易になる。
品種，出荷計画により開花抑制剤を使用する。</t>
    <rPh sb="0" eb="1">
      <t>ツ</t>
    </rPh>
    <rPh sb="2" eb="3">
      <t>ノコ</t>
    </rPh>
    <rPh sb="9" eb="11">
      <t>チュウイ</t>
    </rPh>
    <rPh sb="15" eb="17">
      <t>オンド</t>
    </rPh>
    <rPh sb="18" eb="19">
      <t>ヒク</t>
    </rPh>
    <rPh sb="20" eb="23">
      <t>ジカンタイ</t>
    </rPh>
    <rPh sb="24" eb="25">
      <t>オコナ</t>
    </rPh>
    <rPh sb="27" eb="29">
      <t>ニッチュウ</t>
    </rPh>
    <rPh sb="32" eb="34">
      <t>サギョウ</t>
    </rPh>
    <rPh sb="35" eb="37">
      <t>ヨウイ</t>
    </rPh>
    <rPh sb="42" eb="44">
      <t>ヒンシュ</t>
    </rPh>
    <rPh sb="45" eb="47">
      <t>シュッカ</t>
    </rPh>
    <rPh sb="47" eb="49">
      <t>ケイカク</t>
    </rPh>
    <rPh sb="52" eb="54">
      <t>カイカ</t>
    </rPh>
    <rPh sb="54" eb="56">
      <t>ヨクセイ</t>
    </rPh>
    <rPh sb="56" eb="57">
      <t>ザイ</t>
    </rPh>
    <rPh sb="58" eb="60">
      <t>シヨウ</t>
    </rPh>
    <phoneticPr fontId="4"/>
  </si>
  <si>
    <t>徒長茎，弱小茎を除去し生育を揃える。</t>
    <rPh sb="0" eb="2">
      <t>トチョウ</t>
    </rPh>
    <rPh sb="2" eb="3">
      <t>クキ</t>
    </rPh>
    <rPh sb="4" eb="6">
      <t>ジャクショウ</t>
    </rPh>
    <rPh sb="6" eb="7">
      <t>クキ</t>
    </rPh>
    <rPh sb="8" eb="10">
      <t>ジョキョ</t>
    </rPh>
    <rPh sb="11" eb="13">
      <t>セイイク</t>
    </rPh>
    <rPh sb="14" eb="15">
      <t>ソロ</t>
    </rPh>
    <phoneticPr fontId="4"/>
  </si>
  <si>
    <t>作業時期が遅れないよう留意する。
発蕾期以降，品種特性に合わせ，花首伸長抑制剤を使用する。</t>
    <rPh sb="0" eb="2">
      <t>サギョウ</t>
    </rPh>
    <rPh sb="2" eb="4">
      <t>ジキ</t>
    </rPh>
    <rPh sb="5" eb="6">
      <t>オク</t>
    </rPh>
    <rPh sb="11" eb="13">
      <t>リュウイ</t>
    </rPh>
    <rPh sb="17" eb="18">
      <t>ハツ</t>
    </rPh>
    <rPh sb="18" eb="19">
      <t>ツボミ</t>
    </rPh>
    <rPh sb="19" eb="20">
      <t>キ</t>
    </rPh>
    <rPh sb="20" eb="22">
      <t>イコウ</t>
    </rPh>
    <rPh sb="23" eb="25">
      <t>ヒンシュ</t>
    </rPh>
    <rPh sb="25" eb="27">
      <t>トクセイ</t>
    </rPh>
    <rPh sb="28" eb="29">
      <t>ア</t>
    </rPh>
    <rPh sb="32" eb="33">
      <t>ハナ</t>
    </rPh>
    <rPh sb="33" eb="34">
      <t>クビ</t>
    </rPh>
    <rPh sb="34" eb="36">
      <t>シンチョウ</t>
    </rPh>
    <rPh sb="36" eb="39">
      <t>ヨクセイザイ</t>
    </rPh>
    <rPh sb="40" eb="42">
      <t>シヨウ</t>
    </rPh>
    <phoneticPr fontId="4"/>
  </si>
  <si>
    <t>雨や夜露で濡れた状態で収穫したものは乾燥する。　　　　　　　　　
水揚げを確実に実施する。</t>
    <rPh sb="0" eb="1">
      <t>アメ</t>
    </rPh>
    <rPh sb="2" eb="4">
      <t>ヨツユ</t>
    </rPh>
    <rPh sb="5" eb="6">
      <t>ヌ</t>
    </rPh>
    <rPh sb="8" eb="10">
      <t>ジョウタイ</t>
    </rPh>
    <rPh sb="11" eb="13">
      <t>シュウカク</t>
    </rPh>
    <rPh sb="18" eb="20">
      <t>カンソウ</t>
    </rPh>
    <rPh sb="33" eb="35">
      <t>ミズア</t>
    </rPh>
    <rPh sb="37" eb="39">
      <t>カクジツ</t>
    </rPh>
    <rPh sb="40" eb="42">
      <t>ジッシ</t>
    </rPh>
    <phoneticPr fontId="4"/>
  </si>
  <si>
    <t>病害虫防除基準に準じた防除する。　</t>
    <rPh sb="0" eb="3">
      <t>ビョウガイチュウ</t>
    </rPh>
    <rPh sb="3" eb="5">
      <t>ボウジョ</t>
    </rPh>
    <rPh sb="5" eb="7">
      <t>キジュン</t>
    </rPh>
    <rPh sb="8" eb="9">
      <t>ジュン</t>
    </rPh>
    <rPh sb="11" eb="13">
      <t>ボウジョ</t>
    </rPh>
    <phoneticPr fontId="4"/>
  </si>
  <si>
    <t>病害虫のない株か　ら親株を確保する。　　　　　　　　親株管理時も病害　虫防除実施する。
積雪地では，育苗　ﾊｳｽの雪害対策（耐　雪ﾊｳｽ，補強支柱の設置等）を実施する。</t>
    <rPh sb="0" eb="3">
      <t>ビョウガイチュウ</t>
    </rPh>
    <rPh sb="6" eb="7">
      <t>カブ</t>
    </rPh>
    <rPh sb="10" eb="12">
      <t>オヤカブ</t>
    </rPh>
    <rPh sb="13" eb="15">
      <t>カクホ</t>
    </rPh>
    <rPh sb="26" eb="28">
      <t>オヤカブ</t>
    </rPh>
    <rPh sb="28" eb="30">
      <t>カンリ</t>
    </rPh>
    <rPh sb="30" eb="31">
      <t>ジ</t>
    </rPh>
    <rPh sb="32" eb="34">
      <t>ビョウガイ</t>
    </rPh>
    <rPh sb="35" eb="36">
      <t>ムシ</t>
    </rPh>
    <rPh sb="36" eb="38">
      <t>ボウジョ</t>
    </rPh>
    <rPh sb="38" eb="40">
      <t>ジッシ</t>
    </rPh>
    <rPh sb="44" eb="46">
      <t>セキセツ</t>
    </rPh>
    <rPh sb="46" eb="47">
      <t>チ</t>
    </rPh>
    <rPh sb="50" eb="52">
      <t>イクビョウ</t>
    </rPh>
    <rPh sb="57" eb="59">
      <t>セツガイ</t>
    </rPh>
    <rPh sb="59" eb="61">
      <t>タイサク</t>
    </rPh>
    <rPh sb="62" eb="63">
      <t>タイ</t>
    </rPh>
    <rPh sb="64" eb="65">
      <t>ユキ</t>
    </rPh>
    <rPh sb="69" eb="71">
      <t>ホキョウ</t>
    </rPh>
    <rPh sb="71" eb="73">
      <t>シチュウ</t>
    </rPh>
    <rPh sb="74" eb="76">
      <t>セッチ</t>
    </rPh>
    <rPh sb="76" eb="77">
      <t>ナド</t>
    </rPh>
    <rPh sb="79" eb="81">
      <t>ジッシ</t>
    </rPh>
    <phoneticPr fontId="4"/>
  </si>
  <si>
    <t>発根まで強日照による芽やけ，低日照による徒長，灌水過多による腐敗･徒長に注意する。
育苗時期によっては温床で発根促進する。</t>
    <rPh sb="0" eb="2">
      <t>ハッコン</t>
    </rPh>
    <rPh sb="4" eb="5">
      <t>ツヨ</t>
    </rPh>
    <rPh sb="5" eb="7">
      <t>ニッショウ</t>
    </rPh>
    <rPh sb="10" eb="11">
      <t>メ</t>
    </rPh>
    <rPh sb="14" eb="15">
      <t>テイ</t>
    </rPh>
    <rPh sb="15" eb="17">
      <t>ニッショウ</t>
    </rPh>
    <rPh sb="20" eb="22">
      <t>トチョウ</t>
    </rPh>
    <rPh sb="23" eb="25">
      <t>カンスイ</t>
    </rPh>
    <rPh sb="25" eb="27">
      <t>カタ</t>
    </rPh>
    <rPh sb="30" eb="32">
      <t>フハイ</t>
    </rPh>
    <rPh sb="33" eb="35">
      <t>トチョウ</t>
    </rPh>
    <rPh sb="36" eb="38">
      <t>チュウイ</t>
    </rPh>
    <rPh sb="42" eb="44">
      <t>イクビョウ</t>
    </rPh>
    <rPh sb="44" eb="46">
      <t>ジキ</t>
    </rPh>
    <rPh sb="51" eb="53">
      <t>オンショウ</t>
    </rPh>
    <rPh sb="54" eb="56">
      <t>ハッコン</t>
    </rPh>
    <rPh sb="56" eb="58">
      <t>ソクシン</t>
    </rPh>
    <phoneticPr fontId="4"/>
  </si>
  <si>
    <t>調製･出荷</t>
    <rPh sb="0" eb="2">
      <t>チョウセイ</t>
    </rPh>
    <rPh sb="3" eb="5">
      <t>シュッカ</t>
    </rPh>
    <phoneticPr fontId="4"/>
  </si>
  <si>
    <t>調製作業場　　　　
選花機　　　　　　　
結束機　　　　　　　　
きく乾燥機　　　　　
冷蔵庫　　　　　　　
軽トラック</t>
    <rPh sb="0" eb="2">
      <t>チョウセイ</t>
    </rPh>
    <rPh sb="2" eb="4">
      <t>サギョウ</t>
    </rPh>
    <rPh sb="4" eb="5">
      <t>バ</t>
    </rPh>
    <rPh sb="10" eb="11">
      <t>セン</t>
    </rPh>
    <rPh sb="11" eb="12">
      <t>ハナ</t>
    </rPh>
    <rPh sb="12" eb="13">
      <t>キ</t>
    </rPh>
    <rPh sb="21" eb="23">
      <t>ケッソク</t>
    </rPh>
    <rPh sb="23" eb="24">
      <t>キ</t>
    </rPh>
    <rPh sb="35" eb="38">
      <t>カンソウキ</t>
    </rPh>
    <rPh sb="44" eb="47">
      <t>レイゾウコ</t>
    </rPh>
    <rPh sb="55" eb="56">
      <t>ケイ</t>
    </rPh>
    <phoneticPr fontId="4"/>
  </si>
  <si>
    <t>収穫適期は品種特性に合わせて調製する。　　　　　　　　　　　収穫鎌は品種ごとに換えるかこまめに消毒する。</t>
    <rPh sb="0" eb="2">
      <t>シュウカク</t>
    </rPh>
    <rPh sb="2" eb="3">
      <t>テキ</t>
    </rPh>
    <rPh sb="3" eb="4">
      <t>キ</t>
    </rPh>
    <rPh sb="5" eb="7">
      <t>ヒンシュ</t>
    </rPh>
    <rPh sb="7" eb="9">
      <t>トクセイ</t>
    </rPh>
    <rPh sb="10" eb="11">
      <t>ア</t>
    </rPh>
    <rPh sb="30" eb="32">
      <t>シュウカク</t>
    </rPh>
    <rPh sb="32" eb="33">
      <t>カマ</t>
    </rPh>
    <rPh sb="34" eb="36">
      <t>ヒンシュ</t>
    </rPh>
    <rPh sb="39" eb="40">
      <t>カ</t>
    </rPh>
    <rPh sb="47" eb="49">
      <t>ショウドク</t>
    </rPh>
    <phoneticPr fontId="4"/>
  </si>
  <si>
    <t>調製出荷</t>
    <rPh sb="0" eb="2">
      <t>チョウセイ</t>
    </rPh>
    <rPh sb="2" eb="4">
      <t>シュッカ</t>
    </rPh>
    <phoneticPr fontId="4"/>
  </si>
  <si>
    <t>A</t>
    <phoneticPr fontId="4"/>
  </si>
  <si>
    <t>B</t>
    <phoneticPr fontId="2"/>
  </si>
  <si>
    <t>A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</si>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</sst>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.00;&quot;▲ &quot;#,##0.00"/>
    <numFmt numFmtId="187" formatCode="0.00_);[Red]\(0.00\)"/>
    <numFmt numFmtId="188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0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45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9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6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60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6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8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76" fontId="0" fillId="5" borderId="125" xfId="0" applyNumberFormat="1" applyFont="1" applyFill="1" applyBorder="1" applyAlignment="1">
      <alignment vertical="center" shrinkToFit="1"/>
    </xf>
    <xf numFmtId="179" fontId="0" fillId="0" borderId="130" xfId="0" applyNumberFormat="1" applyFont="1" applyBorder="1" applyAlignment="1">
      <alignment horizontal="center" vertical="center" shrinkToFit="1"/>
    </xf>
    <xf numFmtId="176" fontId="0" fillId="5" borderId="116" xfId="0" applyNumberFormat="1" applyFont="1" applyFill="1" applyBorder="1" applyAlignment="1">
      <alignment vertical="center" shrinkToFit="1"/>
    </xf>
    <xf numFmtId="179" fontId="0" fillId="0" borderId="133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5" borderId="112" xfId="0" applyNumberFormat="1" applyFont="1" applyFill="1" applyBorder="1" applyAlignment="1">
      <alignment vertical="center" shrinkToFit="1"/>
    </xf>
    <xf numFmtId="183" fontId="0" fillId="5" borderId="55" xfId="0" applyNumberFormat="1" applyFont="1" applyFill="1" applyBorder="1" applyAlignment="1">
      <alignment vertical="center" shrinkToFit="1"/>
    </xf>
    <xf numFmtId="183" fontId="0" fillId="5" borderId="22" xfId="0" applyNumberFormat="1" applyFont="1" applyFill="1" applyBorder="1" applyAlignment="1">
      <alignment vertical="center" shrinkToFit="1"/>
    </xf>
    <xf numFmtId="183" fontId="0" fillId="5" borderId="12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5" borderId="115" xfId="0" applyNumberFormat="1" applyFont="1" applyFill="1" applyBorder="1" applyAlignment="1">
      <alignment vertical="center" shrinkToFit="1"/>
    </xf>
    <xf numFmtId="183" fontId="0" fillId="5" borderId="135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7" fontId="0" fillId="5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6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7" xfId="3" applyNumberFormat="1" applyFont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/>
    </xf>
    <xf numFmtId="178" fontId="0" fillId="0" borderId="14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8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4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7" xfId="0" applyNumberFormat="1" applyFont="1" applyFill="1" applyBorder="1" applyAlignment="1">
      <alignment horizontal="left" vertical="center"/>
    </xf>
    <xf numFmtId="177" fontId="0" fillId="0" borderId="147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5" xfId="3" applyNumberFormat="1" applyFont="1" applyBorder="1" applyAlignment="1">
      <alignment vertical="center" shrinkToFit="1"/>
    </xf>
    <xf numFmtId="176" fontId="0" fillId="0" borderId="155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53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3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5" borderId="153" xfId="0" applyNumberFormat="1" applyFont="1" applyFill="1" applyBorder="1" applyAlignment="1">
      <alignment vertical="center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8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5" borderId="112" xfId="0" applyNumberFormat="1" applyFont="1" applyFill="1" applyBorder="1" applyAlignment="1">
      <alignment horizontal="center" vertical="center" shrinkToFit="1"/>
    </xf>
    <xf numFmtId="176" fontId="0" fillId="5" borderId="127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horizontal="center" vertical="center" shrinkToFit="1"/>
    </xf>
    <xf numFmtId="177" fontId="0" fillId="0" borderId="62" xfId="0" applyNumberFormat="1" applyFont="1" applyBorder="1" applyAlignment="1">
      <alignment horizontal="center" vertical="center" shrinkToFit="1"/>
    </xf>
    <xf numFmtId="176" fontId="0" fillId="0" borderId="156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6" fontId="0" fillId="2" borderId="165" xfId="0" applyNumberFormat="1" applyFont="1" applyFill="1" applyBorder="1" applyAlignment="1">
      <alignment vertical="center" shrinkToFit="1"/>
    </xf>
    <xf numFmtId="177" fontId="0" fillId="2" borderId="161" xfId="3" applyNumberFormat="1" applyFont="1" applyFill="1" applyBorder="1" applyAlignment="1">
      <alignment horizontal="center" vertical="center" shrinkToFit="1"/>
    </xf>
    <xf numFmtId="177" fontId="0" fillId="2" borderId="161" xfId="3" applyNumberFormat="1" applyFont="1" applyFill="1" applyBorder="1" applyAlignment="1">
      <alignment vertical="center" shrinkToFit="1"/>
    </xf>
    <xf numFmtId="176" fontId="0" fillId="5" borderId="166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70" xfId="0" applyNumberFormat="1" applyFont="1" applyFill="1" applyBorder="1" applyAlignment="1">
      <alignment vertical="center" shrinkToFit="1"/>
    </xf>
    <xf numFmtId="177" fontId="0" fillId="0" borderId="162" xfId="0" applyNumberFormat="1" applyFill="1" applyBorder="1" applyAlignment="1">
      <alignment vertical="center"/>
    </xf>
    <xf numFmtId="181" fontId="0" fillId="0" borderId="13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71" xfId="0" applyFont="1" applyBorder="1" applyAlignment="1">
      <alignment horizontal="center" vertical="center" shrinkToFit="1"/>
    </xf>
    <xf numFmtId="0" fontId="8" fillId="0" borderId="174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8" xfId="0" applyNumberFormat="1" applyFont="1" applyBorder="1" applyAlignment="1">
      <alignment vertical="center"/>
    </xf>
    <xf numFmtId="176" fontId="0" fillId="0" borderId="89" xfId="0" applyNumberForma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6" fontId="0" fillId="0" borderId="7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82" xfId="0" applyNumberFormat="1" applyFont="1" applyBorder="1" applyAlignment="1">
      <alignment vertical="center" shrinkToFit="1"/>
    </xf>
    <xf numFmtId="179" fontId="0" fillId="0" borderId="144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4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127" xfId="0" applyNumberFormat="1" applyFont="1" applyBorder="1" applyAlignment="1">
      <alignment vertical="center" shrinkToFit="1"/>
    </xf>
    <xf numFmtId="179" fontId="0" fillId="0" borderId="186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81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49" fontId="0" fillId="0" borderId="89" xfId="0" applyNumberFormat="1" applyFont="1" applyBorder="1" applyAlignment="1">
      <alignment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horizontal="center" vertical="center" shrinkToFit="1"/>
    </xf>
    <xf numFmtId="176" fontId="0" fillId="0" borderId="89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77" xfId="0" applyNumberFormat="1" applyBorder="1" applyAlignment="1">
      <alignment horizontal="center" vertical="center" shrinkToFit="1"/>
    </xf>
    <xf numFmtId="177" fontId="0" fillId="0" borderId="5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2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7" fontId="0" fillId="0" borderId="162" xfId="0" applyNumberFormat="1" applyFont="1" applyBorder="1" applyAlignment="1">
      <alignment vertical="center" shrinkToFit="1"/>
    </xf>
    <xf numFmtId="176" fontId="0" fillId="0" borderId="144" xfId="0" applyNumberFormat="1" applyFont="1" applyBorder="1" applyAlignment="1">
      <alignment vertical="center" shrinkToFit="1"/>
    </xf>
    <xf numFmtId="185" fontId="0" fillId="0" borderId="78" xfId="0" applyNumberFormat="1" applyFont="1" applyBorder="1" applyAlignment="1">
      <alignment horizontal="center" vertical="center"/>
    </xf>
    <xf numFmtId="0" fontId="0" fillId="0" borderId="187" xfId="0" applyFont="1" applyBorder="1" applyAlignment="1">
      <alignment horizontal="center" vertical="center"/>
    </xf>
    <xf numFmtId="181" fontId="0" fillId="0" borderId="187" xfId="0" applyNumberFormat="1" applyFont="1" applyBorder="1" applyAlignment="1">
      <alignment horizontal="right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6" borderId="41" xfId="0" applyNumberFormat="1" applyFont="1" applyFill="1" applyBorder="1" applyAlignment="1">
      <alignment horizontal="right" vertical="center"/>
    </xf>
    <xf numFmtId="181" fontId="0" fillId="6" borderId="44" xfId="1" applyNumberFormat="1" applyFont="1" applyFill="1" applyBorder="1" applyAlignment="1">
      <alignment horizontal="right" vertical="center"/>
    </xf>
    <xf numFmtId="181" fontId="0" fillId="3" borderId="24" xfId="1" applyNumberFormat="1" applyFont="1" applyFill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0" fontId="0" fillId="0" borderId="188" xfId="0" applyFont="1" applyBorder="1" applyAlignment="1">
      <alignment horizontal="center" vertical="center"/>
    </xf>
    <xf numFmtId="185" fontId="0" fillId="0" borderId="140" xfId="0" applyNumberFormat="1" applyFont="1" applyBorder="1" applyAlignment="1">
      <alignment horizontal="center" vertical="center"/>
    </xf>
    <xf numFmtId="181" fontId="0" fillId="0" borderId="188" xfId="0" applyNumberFormat="1" applyFont="1" applyBorder="1" applyAlignment="1">
      <alignment horizontal="right" vertical="center"/>
    </xf>
    <xf numFmtId="181" fontId="0" fillId="4" borderId="200" xfId="0" applyNumberFormat="1" applyFont="1" applyFill="1" applyBorder="1" applyAlignment="1">
      <alignment horizontal="right" vertical="center"/>
    </xf>
    <xf numFmtId="181" fontId="0" fillId="0" borderId="40" xfId="0" applyNumberFormat="1" applyFont="1" applyFill="1" applyBorder="1" applyAlignment="1">
      <alignment horizontal="right" vertical="center"/>
    </xf>
    <xf numFmtId="181" fontId="0" fillId="6" borderId="56" xfId="1" applyNumberFormat="1" applyFont="1" applyFill="1" applyBorder="1" applyAlignment="1">
      <alignment horizontal="right" vertical="center"/>
    </xf>
    <xf numFmtId="181" fontId="0" fillId="3" borderId="34" xfId="1" applyNumberFormat="1" applyFont="1" applyFill="1" applyBorder="1" applyAlignment="1">
      <alignment horizontal="right" vertical="center"/>
    </xf>
    <xf numFmtId="182" fontId="0" fillId="3" borderId="3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181" fontId="0" fillId="4" borderId="161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77" fontId="0" fillId="0" borderId="144" xfId="3" applyNumberFormat="1" applyFont="1" applyFill="1" applyBorder="1" applyAlignment="1">
      <alignment vertical="center" shrinkToFit="1"/>
    </xf>
    <xf numFmtId="176" fontId="4" fillId="0" borderId="202" xfId="0" applyNumberFormat="1" applyFont="1" applyBorder="1" applyAlignment="1">
      <alignment horizontal="left" vertical="center" wrapTex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shrinkToFit="1"/>
    </xf>
    <xf numFmtId="176" fontId="0" fillId="0" borderId="204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0" fillId="0" borderId="13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47" xfId="0" applyNumberFormat="1" applyFill="1" applyBorder="1" applyAlignment="1">
      <alignment horizontal="center" vertical="center" shrinkToFit="1"/>
    </xf>
    <xf numFmtId="177" fontId="0" fillId="0" borderId="147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77" fontId="0" fillId="0" borderId="20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6" fontId="0" fillId="0" borderId="162" xfId="0" applyNumberFormat="1" applyFont="1" applyFill="1" applyBorder="1" applyAlignment="1">
      <alignment vertical="center" shrinkToFit="1"/>
    </xf>
    <xf numFmtId="176" fontId="0" fillId="0" borderId="76" xfId="0" applyNumberFormat="1" applyFont="1" applyFill="1" applyBorder="1" applyAlignment="1">
      <alignment vertical="center" shrinkToFit="1"/>
    </xf>
    <xf numFmtId="176" fontId="0" fillId="0" borderId="162" xfId="0" applyNumberFormat="1" applyFont="1" applyFill="1" applyBorder="1" applyAlignment="1">
      <alignment horizontal="center" vertical="center" shrinkToFit="1"/>
    </xf>
    <xf numFmtId="179" fontId="0" fillId="2" borderId="112" xfId="0" applyNumberFormat="1" applyFont="1" applyFill="1" applyBorder="1" applyAlignment="1">
      <alignment vertical="center" shrinkToFit="1"/>
    </xf>
    <xf numFmtId="179" fontId="0" fillId="0" borderId="162" xfId="0" applyNumberFormat="1" applyFont="1" applyFill="1" applyBorder="1" applyAlignment="1">
      <alignment vertical="center" shrinkToFit="1"/>
    </xf>
    <xf numFmtId="179" fontId="0" fillId="2" borderId="11" xfId="0" applyNumberFormat="1" applyFont="1" applyFill="1" applyBorder="1" applyAlignment="1">
      <alignment vertical="center" shrinkToFit="1"/>
    </xf>
    <xf numFmtId="177" fontId="0" fillId="0" borderId="144" xfId="0" applyNumberFormat="1" applyFill="1" applyBorder="1" applyAlignment="1">
      <alignment horizontal="right" vertical="center"/>
    </xf>
    <xf numFmtId="178" fontId="0" fillId="0" borderId="89" xfId="0" applyNumberFormat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86" fontId="0" fillId="0" borderId="89" xfId="0" applyNumberFormat="1" applyFont="1" applyFill="1" applyBorder="1" applyAlignment="1">
      <alignment vertical="center"/>
    </xf>
    <xf numFmtId="0" fontId="15" fillId="0" borderId="89" xfId="2" applyFont="1" applyBorder="1" applyAlignment="1">
      <alignment horizontal="left" vertical="top" wrapText="1"/>
    </xf>
    <xf numFmtId="0" fontId="6" fillId="0" borderId="89" xfId="2" applyFont="1" applyBorder="1" applyAlignment="1">
      <alignment horizontal="left" vertical="top" wrapText="1"/>
    </xf>
    <xf numFmtId="0" fontId="6" fillId="0" borderId="89" xfId="2" applyFont="1" applyBorder="1" applyAlignment="1">
      <alignment horizontal="center" vertical="center" wrapText="1"/>
    </xf>
    <xf numFmtId="0" fontId="15" fillId="0" borderId="89" xfId="2" applyFont="1" applyBorder="1" applyAlignment="1">
      <alignment horizontal="center" vertical="center" wrapText="1"/>
    </xf>
    <xf numFmtId="0" fontId="6" fillId="0" borderId="89" xfId="2" applyFont="1" applyBorder="1" applyAlignment="1">
      <alignment vertical="top" wrapText="1"/>
    </xf>
    <xf numFmtId="0" fontId="15" fillId="0" borderId="89" xfId="2" applyFont="1" applyBorder="1" applyAlignment="1">
      <alignment vertical="top" wrapText="1"/>
    </xf>
    <xf numFmtId="0" fontId="15" fillId="0" borderId="76" xfId="2" applyFont="1" applyBorder="1" applyAlignment="1">
      <alignment vertical="top" wrapText="1"/>
    </xf>
    <xf numFmtId="0" fontId="8" fillId="0" borderId="89" xfId="2" applyFont="1" applyBorder="1" applyAlignment="1">
      <alignment horizontal="center" vertical="center" wrapText="1"/>
    </xf>
    <xf numFmtId="0" fontId="0" fillId="0" borderId="122" xfId="2" applyFont="1" applyBorder="1" applyAlignment="1">
      <alignment horizontal="center" vertical="center" wrapText="1"/>
    </xf>
    <xf numFmtId="177" fontId="0" fillId="0" borderId="89" xfId="0" applyNumberFormat="1" applyFont="1" applyBorder="1" applyAlignment="1">
      <alignment horizontal="right" vertical="center" shrinkToFit="1"/>
    </xf>
    <xf numFmtId="0" fontId="8" fillId="0" borderId="89" xfId="2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wrapText="1"/>
    </xf>
    <xf numFmtId="176" fontId="0" fillId="0" borderId="144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horizontal="right" vertical="center"/>
    </xf>
    <xf numFmtId="176" fontId="0" fillId="0" borderId="147" xfId="0" applyNumberFormat="1" applyFont="1" applyBorder="1" applyAlignment="1">
      <alignment horizontal="center" vertical="center"/>
    </xf>
    <xf numFmtId="183" fontId="0" fillId="0" borderId="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0" fontId="5" fillId="0" borderId="76" xfId="2" applyFont="1" applyBorder="1" applyAlignment="1">
      <alignment horizontal="left" vertical="top" wrapText="1"/>
    </xf>
    <xf numFmtId="179" fontId="0" fillId="0" borderId="76" xfId="0" applyNumberFormat="1" applyFont="1" applyBorder="1" applyAlignment="1">
      <alignment vertical="center" shrinkToFit="1"/>
    </xf>
    <xf numFmtId="178" fontId="0" fillId="0" borderId="1" xfId="0" applyNumberFormat="1" applyFont="1" applyFill="1" applyBorder="1" applyAlignment="1">
      <alignment vertical="center" shrinkToFit="1"/>
    </xf>
    <xf numFmtId="177" fontId="0" fillId="2" borderId="19" xfId="0" applyNumberFormat="1" applyFont="1" applyFill="1" applyBorder="1" applyAlignment="1">
      <alignment vertical="center" shrinkToFit="1"/>
    </xf>
    <xf numFmtId="0" fontId="16" fillId="0" borderId="89" xfId="2" applyFont="1" applyBorder="1" applyAlignment="1">
      <alignment horizontal="left" vertical="top" wrapText="1"/>
    </xf>
    <xf numFmtId="0" fontId="17" fillId="0" borderId="89" xfId="2" applyFont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vertical="center"/>
    </xf>
    <xf numFmtId="182" fontId="0" fillId="0" borderId="147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88" fontId="0" fillId="0" borderId="181" xfId="0" applyNumberFormat="1" applyFont="1" applyBorder="1" applyAlignment="1">
      <alignment vertical="center" shrinkToFit="1"/>
    </xf>
    <xf numFmtId="188" fontId="0" fillId="0" borderId="12" xfId="0" applyNumberFormat="1" applyFont="1" applyBorder="1" applyAlignment="1">
      <alignment vertical="center" shrinkToFit="1"/>
    </xf>
    <xf numFmtId="188" fontId="0" fillId="0" borderId="182" xfId="0" applyNumberFormat="1" applyFont="1" applyBorder="1" applyAlignment="1">
      <alignment vertical="center" shrinkToFit="1"/>
    </xf>
    <xf numFmtId="181" fontId="0" fillId="0" borderId="34" xfId="0" applyNumberFormat="1" applyFont="1" applyFill="1" applyBorder="1" applyAlignment="1">
      <alignment horizontal="right" vertical="center"/>
    </xf>
    <xf numFmtId="181" fontId="0" fillId="0" borderId="40" xfId="0" applyNumberFormat="1" applyFont="1" applyFill="1" applyBorder="1" applyAlignment="1">
      <alignment vertical="center"/>
    </xf>
    <xf numFmtId="181" fontId="0" fillId="0" borderId="194" xfId="0" applyNumberFormat="1" applyFont="1" applyFill="1" applyBorder="1" applyAlignment="1">
      <alignment vertical="center"/>
    </xf>
    <xf numFmtId="0" fontId="15" fillId="0" borderId="164" xfId="2" applyFont="1" applyBorder="1" applyAlignment="1">
      <alignment horizontal="left" vertical="top" wrapText="1"/>
    </xf>
    <xf numFmtId="0" fontId="6" fillId="0" borderId="164" xfId="2" applyFont="1" applyBorder="1" applyAlignment="1">
      <alignment horizontal="left" vertical="top" wrapText="1"/>
    </xf>
    <xf numFmtId="0" fontId="6" fillId="0" borderId="165" xfId="2" applyFont="1" applyBorder="1" applyAlignment="1">
      <alignment horizontal="left" vertical="top" wrapText="1"/>
    </xf>
    <xf numFmtId="0" fontId="8" fillId="0" borderId="205" xfId="2" applyFont="1" applyBorder="1" applyAlignment="1">
      <alignment horizontal="center" vertical="center" wrapText="1"/>
    </xf>
    <xf numFmtId="0" fontId="15" fillId="0" borderId="76" xfId="2" applyFont="1" applyBorder="1" applyAlignment="1">
      <alignment horizontal="left" vertical="top" wrapText="1"/>
    </xf>
    <xf numFmtId="0" fontId="15" fillId="0" borderId="76" xfId="2" applyFont="1" applyBorder="1" applyAlignment="1">
      <alignment horizontal="center" vertical="center" wrapText="1"/>
    </xf>
    <xf numFmtId="176" fontId="0" fillId="0" borderId="162" xfId="0" applyNumberFormat="1" applyFont="1" applyFill="1" applyBorder="1" applyAlignment="1">
      <alignment horizontal="left" vertical="center" shrinkToFit="1"/>
    </xf>
    <xf numFmtId="0" fontId="0" fillId="0" borderId="162" xfId="2" applyFont="1" applyBorder="1" applyAlignment="1">
      <alignment horizontal="left" vertical="center" wrapText="1"/>
    </xf>
    <xf numFmtId="0" fontId="0" fillId="0" borderId="169" xfId="0" applyBorder="1" applyAlignment="1">
      <alignment horizontal="left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62" xfId="2" applyFont="1" applyBorder="1" applyAlignment="1">
      <alignment horizontal="center" vertical="center" wrapText="1"/>
    </xf>
    <xf numFmtId="0" fontId="8" fillId="0" borderId="169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33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27" xfId="2" applyFont="1" applyBorder="1" applyAlignment="1">
      <alignment horizontal="center" vertical="center" wrapText="1"/>
    </xf>
    <xf numFmtId="0" fontId="8" fillId="0" borderId="13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9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0" fillId="0" borderId="169" xfId="2" applyFont="1" applyBorder="1" applyAlignment="1">
      <alignment horizontal="right" vertical="center" wrapText="1"/>
    </xf>
    <xf numFmtId="0" fontId="0" fillId="0" borderId="52" xfId="0" applyBorder="1" applyAlignment="1">
      <alignment horizontal="right" vertical="center" wrapTex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0" fillId="0" borderId="169" xfId="2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0" fontId="8" fillId="0" borderId="175" xfId="0" applyFont="1" applyBorder="1" applyAlignment="1">
      <alignment horizontal="center" vertical="center" shrinkToFi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8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 textRotation="255" wrapText="1"/>
    </xf>
    <xf numFmtId="0" fontId="8" fillId="0" borderId="113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61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3" xfId="0" applyFont="1" applyFill="1" applyBorder="1" applyAlignment="1">
      <alignment horizontal="center" vertical="center" textRotation="255" wrapText="1"/>
    </xf>
    <xf numFmtId="0" fontId="0" fillId="4" borderId="161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9" xfId="0" applyNumberFormat="1" applyFont="1" applyBorder="1" applyAlignment="1">
      <alignment vertical="center"/>
    </xf>
    <xf numFmtId="0" fontId="0" fillId="0" borderId="151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Fill="1" applyBorder="1" applyAlignment="1">
      <alignment vertical="center"/>
    </xf>
    <xf numFmtId="181" fontId="0" fillId="0" borderId="40" xfId="0" applyNumberFormat="1" applyFont="1" applyFill="1" applyBorder="1" applyAlignment="1">
      <alignment vertical="center"/>
    </xf>
    <xf numFmtId="181" fontId="0" fillId="0" borderId="194" xfId="0" applyNumberFormat="1" applyFont="1" applyFill="1" applyBorder="1" applyAlignment="1">
      <alignment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4" xfId="0" applyNumberFormat="1" applyFont="1" applyBorder="1" applyAlignment="1">
      <alignment vertical="center"/>
    </xf>
    <xf numFmtId="180" fontId="0" fillId="0" borderId="188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9" xfId="1" applyNumberFormat="1" applyFont="1" applyBorder="1" applyAlignment="1">
      <alignment horizontal="center" vertical="center"/>
    </xf>
    <xf numFmtId="180" fontId="0" fillId="0" borderId="140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90" xfId="1" applyNumberFormat="1" applyFont="1" applyBorder="1" applyAlignment="1">
      <alignment horizontal="center" vertical="center"/>
    </xf>
    <xf numFmtId="181" fontId="0" fillId="0" borderId="191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0" fontId="0" fillId="6" borderId="106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3" xfId="0" applyFont="1" applyFill="1" applyBorder="1" applyAlignment="1">
      <alignment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61" xfId="0" applyFont="1" applyBorder="1" applyAlignment="1">
      <alignment vertical="center"/>
    </xf>
    <xf numFmtId="0" fontId="0" fillId="0" borderId="133" xfId="0" applyFont="1" applyBorder="1" applyAlignment="1">
      <alignment vertical="center"/>
    </xf>
    <xf numFmtId="0" fontId="0" fillId="0" borderId="161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7" xfId="0" applyFont="1" applyFill="1" applyBorder="1" applyAlignment="1">
      <alignment horizontal="center" vertical="center"/>
    </xf>
    <xf numFmtId="0" fontId="0" fillId="3" borderId="198" xfId="0" applyFont="1" applyFill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177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85" xfId="0" applyNumberFormat="1" applyFont="1" applyBorder="1" applyAlignment="1">
      <alignment horizontal="center" vertical="center"/>
    </xf>
    <xf numFmtId="176" fontId="0" fillId="0" borderId="128" xfId="0" applyNumberFormat="1" applyFon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3" xfId="0" applyNumberFormat="1" applyBorder="1" applyAlignment="1">
      <alignment horizontal="center" vertical="center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horizontal="center" vertical="center" textRotation="255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5" borderId="47" xfId="0" applyFill="1" applyBorder="1" applyAlignment="1">
      <alignment horizontal="left" vertical="center"/>
    </xf>
    <xf numFmtId="0" fontId="0" fillId="5" borderId="64" xfId="0" applyFont="1" applyFill="1" applyBorder="1" applyAlignment="1">
      <alignment horizontal="left" vertical="center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201" xfId="0" applyNumberFormat="1" applyFill="1" applyBorder="1" applyAlignment="1">
      <alignment horizontal="center" vertical="center" textRotation="255" shrinkToFit="1"/>
    </xf>
    <xf numFmtId="0" fontId="0" fillId="0" borderId="137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62" xfId="0" applyNumberFormat="1" applyFill="1" applyBorder="1" applyAlignment="1">
      <alignment vertical="center" shrinkToFit="1"/>
    </xf>
    <xf numFmtId="0" fontId="0" fillId="0" borderId="169" xfId="0" applyBorder="1" applyAlignment="1">
      <alignment vertical="center"/>
    </xf>
    <xf numFmtId="0" fontId="0" fillId="0" borderId="170" xfId="0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60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0" fontId="0" fillId="0" borderId="169" xfId="0" applyFont="1" applyFill="1" applyBorder="1" applyAlignment="1">
      <alignment vertical="center" shrinkToFit="1"/>
    </xf>
    <xf numFmtId="0" fontId="0" fillId="0" borderId="170" xfId="0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127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9" xfId="0" applyNumberFormat="1" applyBorder="1" applyAlignment="1">
      <alignment horizontal="center" vertical="center" textRotation="255" shrinkToFit="1"/>
    </xf>
    <xf numFmtId="177" fontId="0" fillId="0" borderId="59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1" fillId="0" borderId="157" xfId="3" applyNumberFormat="1" applyFont="1" applyFill="1" applyBorder="1" applyAlignment="1">
      <alignment vertical="center" shrinkToFit="1"/>
    </xf>
    <xf numFmtId="176" fontId="1" fillId="0" borderId="158" xfId="3" applyNumberFormat="1" applyFont="1" applyFill="1" applyBorder="1" applyAlignment="1">
      <alignment vertical="center" shrinkToFit="1"/>
    </xf>
    <xf numFmtId="176" fontId="1" fillId="0" borderId="34" xfId="0" applyNumberFormat="1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0" borderId="15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6" xfId="3" applyNumberFormat="1" applyFont="1" applyBorder="1" applyAlignment="1">
      <alignment horizontal="center" vertical="center" shrinkToFit="1"/>
    </xf>
    <xf numFmtId="177" fontId="0" fillId="2" borderId="71" xfId="0" applyNumberFormat="1" applyFont="1" applyFill="1" applyBorder="1" applyAlignment="1">
      <alignment horizontal="center" vertical="center" shrinkToFit="1"/>
    </xf>
    <xf numFmtId="177" fontId="0" fillId="2" borderId="118" xfId="0" applyNumberFormat="1" applyFont="1" applyFill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0" fontId="0" fillId="0" borderId="106" xfId="0" applyFont="1" applyBorder="1">
      <alignment vertical="center"/>
    </xf>
    <xf numFmtId="0" fontId="0" fillId="0" borderId="160" xfId="0" applyFont="1" applyBorder="1">
      <alignment vertical="center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18" xfId="0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textRotation="255" shrinkToFit="1"/>
    </xf>
    <xf numFmtId="0" fontId="0" fillId="0" borderId="106" xfId="0" applyBorder="1" applyAlignment="1">
      <alignment horizontal="center" vertical="center" textRotation="255" shrinkToFit="1"/>
    </xf>
    <xf numFmtId="0" fontId="0" fillId="0" borderId="160" xfId="0" applyBorder="1" applyAlignment="1">
      <alignment horizontal="center" vertical="center" textRotation="255" shrinkToFit="1"/>
    </xf>
    <xf numFmtId="176" fontId="0" fillId="0" borderId="157" xfId="3" applyNumberFormat="1" applyFont="1" applyFill="1" applyBorder="1" applyAlignment="1">
      <alignment vertical="center" shrinkToFit="1"/>
    </xf>
    <xf numFmtId="176" fontId="0" fillId="0" borderId="158" xfId="3" applyNumberFormat="1" applyFont="1" applyFill="1" applyBorder="1" applyAlignment="1">
      <alignment vertical="center" shrinkToFit="1"/>
    </xf>
    <xf numFmtId="177" fontId="0" fillId="0" borderId="154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textRotation="255" shrinkToFit="1"/>
    </xf>
    <xf numFmtId="0" fontId="0" fillId="0" borderId="124" xfId="0" applyBorder="1" applyAlignment="1">
      <alignment horizontal="center" vertical="center" textRotation="255" shrinkToFit="1"/>
    </xf>
    <xf numFmtId="177" fontId="0" fillId="0" borderId="162" xfId="0" applyNumberFormat="1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32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horizontal="center" vertical="center" textRotation="255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3" xfId="5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8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100" workbookViewId="0"/>
  </sheetViews>
  <sheetFormatPr defaultRowHeight="13.5" x14ac:dyDescent="0.15"/>
  <cols>
    <col min="1" max="1" width="1.625" style="68" customWidth="1"/>
    <col min="2" max="3" width="7.625" style="68" customWidth="1"/>
    <col min="4" max="6" width="9" style="68"/>
    <col min="7" max="7" width="3.5" style="68" customWidth="1"/>
    <col min="8" max="8" width="3.625" style="68" customWidth="1"/>
    <col min="9" max="9" width="3.75" style="68" customWidth="1"/>
    <col min="10" max="42" width="3.5" style="68" customWidth="1"/>
    <col min="43" max="43" width="1.375" style="68" customWidth="1"/>
    <col min="44" max="16384" width="9" style="68"/>
  </cols>
  <sheetData>
    <row r="1" spans="1:42" ht="9.9499999999999993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42" ht="39.950000000000003" customHeight="1" thickBot="1" x14ac:dyDescent="0.2">
      <c r="A2" s="75"/>
      <c r="B2" s="271" t="s">
        <v>71</v>
      </c>
      <c r="C2" s="505" t="s">
        <v>258</v>
      </c>
      <c r="D2" s="506"/>
      <c r="E2" s="272" t="s">
        <v>56</v>
      </c>
      <c r="F2" s="505" t="s">
        <v>403</v>
      </c>
      <c r="G2" s="507"/>
      <c r="H2" s="507"/>
      <c r="I2" s="507"/>
      <c r="J2" s="507"/>
      <c r="K2" s="507"/>
      <c r="L2" s="507"/>
      <c r="M2" s="507"/>
      <c r="N2" s="506"/>
      <c r="O2" s="511" t="s">
        <v>57</v>
      </c>
      <c r="P2" s="512"/>
      <c r="Q2" s="513"/>
      <c r="R2" s="514" t="s">
        <v>257</v>
      </c>
      <c r="S2" s="515"/>
      <c r="T2" s="515"/>
      <c r="U2" s="515"/>
      <c r="V2" s="514" t="s">
        <v>58</v>
      </c>
      <c r="W2" s="515"/>
      <c r="X2" s="515"/>
      <c r="Y2" s="508" t="s">
        <v>451</v>
      </c>
      <c r="Z2" s="509"/>
      <c r="AA2" s="510"/>
      <c r="AB2" s="76"/>
      <c r="AC2" s="76"/>
      <c r="AD2" s="76"/>
    </row>
    <row r="3" spans="1:42" ht="9.9499999999999993" customHeight="1" x14ac:dyDescent="0.15">
      <c r="B3" s="77"/>
    </row>
    <row r="4" spans="1:42" ht="24.95" customHeight="1" thickBot="1" x14ac:dyDescent="0.2">
      <c r="B4" s="68" t="s">
        <v>94</v>
      </c>
    </row>
    <row r="5" spans="1:42" ht="20.25" customHeight="1" x14ac:dyDescent="0.15">
      <c r="B5" s="425" t="s">
        <v>95</v>
      </c>
      <c r="C5" s="426"/>
      <c r="D5" s="427" t="s">
        <v>393</v>
      </c>
      <c r="E5" s="426"/>
      <c r="F5" s="426"/>
      <c r="G5" s="428"/>
      <c r="H5" s="427" t="s">
        <v>59</v>
      </c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9"/>
      <c r="AD5" s="76"/>
      <c r="AE5" s="76"/>
      <c r="AF5" s="76"/>
      <c r="AG5" s="76"/>
      <c r="AH5" s="76"/>
      <c r="AI5" s="76"/>
      <c r="AJ5" s="76"/>
      <c r="AK5" s="76"/>
      <c r="AL5" s="76"/>
    </row>
    <row r="6" spans="1:42" ht="20.25" customHeight="1" x14ac:dyDescent="0.15">
      <c r="B6" s="435" t="s">
        <v>60</v>
      </c>
      <c r="C6" s="436"/>
      <c r="D6" s="436"/>
      <c r="E6" s="436"/>
      <c r="F6" s="436"/>
      <c r="G6" s="437"/>
      <c r="H6" s="437" t="s">
        <v>61</v>
      </c>
      <c r="I6" s="423"/>
      <c r="J6" s="423"/>
      <c r="K6" s="423"/>
      <c r="L6" s="423"/>
      <c r="M6" s="423"/>
      <c r="N6" s="437" t="s">
        <v>62</v>
      </c>
      <c r="O6" s="423"/>
      <c r="P6" s="423"/>
      <c r="Q6" s="437" t="s">
        <v>63</v>
      </c>
      <c r="R6" s="423"/>
      <c r="S6" s="423"/>
      <c r="T6" s="423"/>
      <c r="U6" s="423"/>
      <c r="V6" s="423"/>
      <c r="W6" s="423"/>
      <c r="X6" s="432"/>
      <c r="Y6" s="423" t="s">
        <v>64</v>
      </c>
      <c r="Z6" s="423"/>
      <c r="AA6" s="424"/>
    </row>
    <row r="7" spans="1:42" ht="20.25" customHeight="1" x14ac:dyDescent="0.15">
      <c r="B7" s="438" t="s">
        <v>65</v>
      </c>
      <c r="C7" s="439"/>
      <c r="D7" s="430" t="s">
        <v>273</v>
      </c>
      <c r="E7" s="431"/>
      <c r="F7" s="431"/>
      <c r="G7" s="432"/>
      <c r="H7" s="437" t="s">
        <v>269</v>
      </c>
      <c r="I7" s="423"/>
      <c r="J7" s="423"/>
      <c r="K7" s="423"/>
      <c r="L7" s="423"/>
      <c r="M7" s="432"/>
      <c r="N7" s="440" t="s">
        <v>272</v>
      </c>
      <c r="O7" s="441"/>
      <c r="P7" s="442"/>
      <c r="Q7" s="430" t="s">
        <v>274</v>
      </c>
      <c r="R7" s="431"/>
      <c r="S7" s="431"/>
      <c r="T7" s="431"/>
      <c r="U7" s="431"/>
      <c r="V7" s="431"/>
      <c r="W7" s="431"/>
      <c r="X7" s="432"/>
      <c r="Y7" s="433" t="s">
        <v>268</v>
      </c>
      <c r="Z7" s="433"/>
      <c r="AA7" s="434"/>
    </row>
    <row r="8" spans="1:42" ht="20.25" customHeight="1" x14ac:dyDescent="0.15">
      <c r="B8" s="435" t="s">
        <v>66</v>
      </c>
      <c r="C8" s="436"/>
      <c r="D8" s="443"/>
      <c r="E8" s="443"/>
      <c r="F8" s="443"/>
      <c r="G8" s="444"/>
      <c r="H8" s="437"/>
      <c r="I8" s="423"/>
      <c r="J8" s="423"/>
      <c r="K8" s="423"/>
      <c r="L8" s="423"/>
      <c r="M8" s="432"/>
      <c r="N8" s="437"/>
      <c r="O8" s="423"/>
      <c r="P8" s="432"/>
      <c r="Q8" s="445"/>
      <c r="R8" s="446"/>
      <c r="S8" s="446"/>
      <c r="T8" s="446"/>
      <c r="U8" s="446"/>
      <c r="V8" s="446"/>
      <c r="W8" s="446"/>
      <c r="X8" s="447"/>
      <c r="Y8" s="437"/>
      <c r="Z8" s="423"/>
      <c r="AA8" s="424"/>
    </row>
    <row r="9" spans="1:42" ht="20.25" customHeight="1" x14ac:dyDescent="0.15">
      <c r="B9" s="435" t="s">
        <v>67</v>
      </c>
      <c r="C9" s="436"/>
      <c r="D9" s="443"/>
      <c r="E9" s="443"/>
      <c r="F9" s="443"/>
      <c r="G9" s="444"/>
      <c r="H9" s="437"/>
      <c r="I9" s="423"/>
      <c r="J9" s="423"/>
      <c r="K9" s="423"/>
      <c r="L9" s="423"/>
      <c r="M9" s="432"/>
      <c r="N9" s="437"/>
      <c r="O9" s="423"/>
      <c r="P9" s="432"/>
      <c r="Q9" s="445"/>
      <c r="R9" s="446"/>
      <c r="S9" s="446"/>
      <c r="T9" s="446"/>
      <c r="U9" s="446"/>
      <c r="V9" s="446"/>
      <c r="W9" s="446"/>
      <c r="X9" s="447"/>
      <c r="Y9" s="437"/>
      <c r="Z9" s="423"/>
      <c r="AA9" s="424"/>
    </row>
    <row r="10" spans="1:42" ht="20.25" customHeight="1" x14ac:dyDescent="0.15">
      <c r="B10" s="435" t="s">
        <v>68</v>
      </c>
      <c r="C10" s="436"/>
      <c r="D10" s="443"/>
      <c r="E10" s="443"/>
      <c r="F10" s="443"/>
      <c r="G10" s="444"/>
      <c r="H10" s="522"/>
      <c r="I10" s="523"/>
      <c r="J10" s="523"/>
      <c r="K10" s="523"/>
      <c r="L10" s="523"/>
      <c r="M10" s="523"/>
      <c r="N10" s="437"/>
      <c r="O10" s="423"/>
      <c r="P10" s="432"/>
      <c r="Q10" s="445"/>
      <c r="R10" s="446"/>
      <c r="S10" s="446"/>
      <c r="T10" s="446"/>
      <c r="U10" s="446"/>
      <c r="V10" s="446"/>
      <c r="W10" s="446"/>
      <c r="X10" s="447"/>
      <c r="Y10" s="423"/>
      <c r="Z10" s="423"/>
      <c r="AA10" s="424"/>
    </row>
    <row r="11" spans="1:42" ht="20.25" customHeight="1" thickBot="1" x14ac:dyDescent="0.2">
      <c r="B11" s="448" t="s">
        <v>69</v>
      </c>
      <c r="C11" s="439"/>
      <c r="D11" s="449" t="s">
        <v>270</v>
      </c>
      <c r="E11" s="450"/>
      <c r="F11" s="450"/>
      <c r="G11" s="451"/>
      <c r="H11" s="452" t="s">
        <v>271</v>
      </c>
      <c r="I11" s="453"/>
      <c r="J11" s="453"/>
      <c r="K11" s="453"/>
      <c r="L11" s="453"/>
      <c r="M11" s="454"/>
      <c r="N11" s="521" t="s">
        <v>430</v>
      </c>
      <c r="O11" s="519"/>
      <c r="P11" s="519"/>
      <c r="Q11" s="516"/>
      <c r="R11" s="517"/>
      <c r="S11" s="517"/>
      <c r="T11" s="517"/>
      <c r="U11" s="517"/>
      <c r="V11" s="517"/>
      <c r="W11" s="517"/>
      <c r="X11" s="518"/>
      <c r="Y11" s="519"/>
      <c r="Z11" s="519"/>
      <c r="AA11" s="520"/>
    </row>
    <row r="12" spans="1:42" ht="20.25" customHeight="1" x14ac:dyDescent="0.15">
      <c r="B12" s="455" t="s">
        <v>92</v>
      </c>
      <c r="C12" s="427" t="s">
        <v>96</v>
      </c>
      <c r="D12" s="426"/>
      <c r="E12" s="428"/>
      <c r="F12" s="69" t="s">
        <v>93</v>
      </c>
      <c r="G12" s="427">
        <v>1</v>
      </c>
      <c r="H12" s="426"/>
      <c r="I12" s="426"/>
      <c r="J12" s="427">
        <v>2</v>
      </c>
      <c r="K12" s="426"/>
      <c r="L12" s="428"/>
      <c r="M12" s="426">
        <v>3</v>
      </c>
      <c r="N12" s="426"/>
      <c r="O12" s="463"/>
      <c r="P12" s="427">
        <v>4</v>
      </c>
      <c r="Q12" s="426"/>
      <c r="R12" s="428"/>
      <c r="S12" s="462">
        <v>5</v>
      </c>
      <c r="T12" s="426"/>
      <c r="U12" s="463"/>
      <c r="V12" s="427">
        <v>6</v>
      </c>
      <c r="W12" s="426"/>
      <c r="X12" s="428"/>
      <c r="Y12" s="462">
        <v>7</v>
      </c>
      <c r="Z12" s="426"/>
      <c r="AA12" s="463"/>
      <c r="AB12" s="427">
        <v>8</v>
      </c>
      <c r="AC12" s="426"/>
      <c r="AD12" s="428"/>
      <c r="AE12" s="462">
        <v>9</v>
      </c>
      <c r="AF12" s="426"/>
      <c r="AG12" s="463"/>
      <c r="AH12" s="427">
        <v>10</v>
      </c>
      <c r="AI12" s="426"/>
      <c r="AJ12" s="428"/>
      <c r="AK12" s="427">
        <v>11</v>
      </c>
      <c r="AL12" s="426"/>
      <c r="AM12" s="428"/>
      <c r="AN12" s="426">
        <v>12</v>
      </c>
      <c r="AO12" s="426"/>
      <c r="AP12" s="429"/>
    </row>
    <row r="13" spans="1:42" ht="20.25" customHeight="1" x14ac:dyDescent="0.15">
      <c r="B13" s="456"/>
      <c r="C13" s="458" t="s">
        <v>260</v>
      </c>
      <c r="D13" s="459"/>
      <c r="E13" s="459"/>
      <c r="F13" s="390" t="s">
        <v>263</v>
      </c>
      <c r="G13" s="78"/>
      <c r="H13" s="79"/>
      <c r="I13" s="79"/>
      <c r="J13" s="78"/>
      <c r="K13" s="79"/>
      <c r="L13" s="80"/>
      <c r="M13" s="79"/>
      <c r="N13" s="359" t="s">
        <v>392</v>
      </c>
      <c r="O13" s="81"/>
      <c r="P13" s="421" t="s">
        <v>287</v>
      </c>
      <c r="Q13" s="422"/>
      <c r="R13" s="80"/>
      <c r="S13" s="82"/>
      <c r="T13" s="79"/>
      <c r="U13" s="81"/>
      <c r="V13" s="78"/>
      <c r="W13" s="79"/>
      <c r="X13" s="80"/>
      <c r="Y13" s="358" t="s">
        <v>267</v>
      </c>
      <c r="Z13" s="359" t="s">
        <v>267</v>
      </c>
      <c r="AA13" s="81"/>
      <c r="AB13" s="78"/>
      <c r="AC13" s="79"/>
      <c r="AD13" s="80"/>
      <c r="AE13" s="78"/>
      <c r="AF13" s="79"/>
      <c r="AG13" s="80"/>
      <c r="AH13" s="78"/>
      <c r="AI13" s="79"/>
      <c r="AJ13" s="80"/>
      <c r="AK13" s="78"/>
      <c r="AL13" s="79"/>
      <c r="AM13" s="80"/>
      <c r="AN13" s="79"/>
      <c r="AO13" s="79"/>
      <c r="AP13" s="83"/>
    </row>
    <row r="14" spans="1:42" ht="20.25" customHeight="1" x14ac:dyDescent="0.15">
      <c r="B14" s="456"/>
      <c r="C14" s="458" t="s">
        <v>259</v>
      </c>
      <c r="D14" s="459"/>
      <c r="E14" s="459"/>
      <c r="F14" s="388" t="s">
        <v>264</v>
      </c>
      <c r="G14" s="84"/>
      <c r="H14" s="85"/>
      <c r="I14" s="85"/>
      <c r="J14" s="84"/>
      <c r="K14" s="85"/>
      <c r="L14" s="86"/>
      <c r="M14" s="85"/>
      <c r="N14" s="85"/>
      <c r="O14" s="87"/>
      <c r="P14" s="356" t="s">
        <v>392</v>
      </c>
      <c r="Q14" s="464" t="s">
        <v>266</v>
      </c>
      <c r="R14" s="465"/>
      <c r="S14" s="88"/>
      <c r="T14" s="85"/>
      <c r="U14" s="87"/>
      <c r="V14" s="84"/>
      <c r="W14" s="85"/>
      <c r="X14" s="86"/>
      <c r="Y14" s="88"/>
      <c r="Z14" s="85"/>
      <c r="AA14" s="357" t="s">
        <v>267</v>
      </c>
      <c r="AB14" s="356" t="s">
        <v>267</v>
      </c>
      <c r="AC14" s="85"/>
      <c r="AD14" s="86"/>
      <c r="AE14" s="84"/>
      <c r="AF14" s="85"/>
      <c r="AG14" s="86"/>
      <c r="AH14" s="84"/>
      <c r="AI14" s="85"/>
      <c r="AJ14" s="86"/>
      <c r="AK14" s="84"/>
      <c r="AL14" s="85"/>
      <c r="AM14" s="86"/>
      <c r="AN14" s="85"/>
      <c r="AO14" s="85"/>
      <c r="AP14" s="89"/>
    </row>
    <row r="15" spans="1:42" ht="20.25" customHeight="1" x14ac:dyDescent="0.15">
      <c r="B15" s="456"/>
      <c r="C15" s="458" t="s">
        <v>261</v>
      </c>
      <c r="D15" s="459"/>
      <c r="E15" s="459"/>
      <c r="F15" s="388" t="s">
        <v>264</v>
      </c>
      <c r="G15" s="84"/>
      <c r="H15" s="85"/>
      <c r="I15" s="85"/>
      <c r="J15" s="84"/>
      <c r="K15" s="85"/>
      <c r="L15" s="86"/>
      <c r="M15" s="85"/>
      <c r="N15" s="85"/>
      <c r="O15" s="87"/>
      <c r="P15" s="84"/>
      <c r="Q15" s="85"/>
      <c r="R15" s="86"/>
      <c r="S15" s="386" t="s">
        <v>392</v>
      </c>
      <c r="T15" s="464" t="s">
        <v>275</v>
      </c>
      <c r="U15" s="465"/>
      <c r="V15" s="84"/>
      <c r="W15" s="85"/>
      <c r="X15" s="86"/>
      <c r="Y15" s="88"/>
      <c r="Z15" s="85"/>
      <c r="AA15" s="87"/>
      <c r="AB15" s="84"/>
      <c r="AC15" s="85"/>
      <c r="AD15" s="86"/>
      <c r="AE15" s="356" t="s">
        <v>267</v>
      </c>
      <c r="AF15" s="360" t="s">
        <v>267</v>
      </c>
      <c r="AG15" s="86"/>
      <c r="AH15" s="84"/>
      <c r="AI15" s="85"/>
      <c r="AJ15" s="86"/>
      <c r="AK15" s="84"/>
      <c r="AL15" s="85"/>
      <c r="AM15" s="86"/>
      <c r="AN15" s="85"/>
      <c r="AO15" s="85"/>
      <c r="AP15" s="89"/>
    </row>
    <row r="16" spans="1:42" ht="20.25" customHeight="1" x14ac:dyDescent="0.15">
      <c r="B16" s="456"/>
      <c r="C16" s="458" t="s">
        <v>262</v>
      </c>
      <c r="D16" s="459"/>
      <c r="E16" s="459"/>
      <c r="F16" s="388" t="s">
        <v>263</v>
      </c>
      <c r="G16" s="84"/>
      <c r="H16" s="85"/>
      <c r="I16" s="85"/>
      <c r="J16" s="84"/>
      <c r="K16" s="85"/>
      <c r="L16" s="86"/>
      <c r="M16" s="85"/>
      <c r="N16" s="85"/>
      <c r="O16" s="87"/>
      <c r="P16" s="84"/>
      <c r="Q16" s="85"/>
      <c r="R16" s="86"/>
      <c r="S16" s="88"/>
      <c r="T16" s="85"/>
      <c r="U16" s="87"/>
      <c r="V16" s="356" t="s">
        <v>392</v>
      </c>
      <c r="W16" s="503" t="s">
        <v>276</v>
      </c>
      <c r="X16" s="504"/>
      <c r="Y16" s="88"/>
      <c r="Z16" s="85"/>
      <c r="AA16" s="87"/>
      <c r="AB16" s="84"/>
      <c r="AC16" s="85"/>
      <c r="AD16" s="86"/>
      <c r="AE16" s="84"/>
      <c r="AF16" s="85"/>
      <c r="AG16" s="86"/>
      <c r="AH16" s="356" t="s">
        <v>267</v>
      </c>
      <c r="AI16" s="360" t="s">
        <v>267</v>
      </c>
      <c r="AJ16" s="86"/>
      <c r="AK16" s="84"/>
      <c r="AL16" s="85"/>
      <c r="AM16" s="86"/>
      <c r="AN16" s="85"/>
      <c r="AO16" s="85"/>
      <c r="AP16" s="89"/>
    </row>
    <row r="17" spans="2:42" ht="20.25" customHeight="1" x14ac:dyDescent="0.15">
      <c r="B17" s="456"/>
      <c r="C17" s="458"/>
      <c r="D17" s="459"/>
      <c r="E17" s="459"/>
      <c r="F17" s="90"/>
      <c r="G17" s="84"/>
      <c r="H17" s="85"/>
      <c r="I17" s="85"/>
      <c r="J17" s="84"/>
      <c r="K17" s="85"/>
      <c r="L17" s="86"/>
      <c r="M17" s="85"/>
      <c r="N17" s="85"/>
      <c r="O17" s="87"/>
      <c r="P17" s="84"/>
      <c r="Q17" s="85"/>
      <c r="R17" s="86"/>
      <c r="S17" s="88"/>
      <c r="T17" s="85"/>
      <c r="U17" s="87"/>
      <c r="V17" s="84"/>
      <c r="W17" s="85"/>
      <c r="X17" s="86"/>
      <c r="Y17" s="88"/>
      <c r="Z17" s="85"/>
      <c r="AA17" s="87"/>
      <c r="AB17" s="84"/>
      <c r="AC17" s="85"/>
      <c r="AD17" s="86"/>
      <c r="AE17" s="84"/>
      <c r="AF17" s="85"/>
      <c r="AG17" s="86"/>
      <c r="AH17" s="84"/>
      <c r="AI17" s="85"/>
      <c r="AJ17" s="86"/>
      <c r="AK17" s="84"/>
      <c r="AL17" s="85"/>
      <c r="AM17" s="86"/>
      <c r="AN17" s="85"/>
      <c r="AO17" s="85"/>
      <c r="AP17" s="89"/>
    </row>
    <row r="18" spans="2:42" ht="20.25" customHeight="1" x14ac:dyDescent="0.15">
      <c r="B18" s="456"/>
      <c r="C18" s="458"/>
      <c r="D18" s="459"/>
      <c r="E18" s="459"/>
      <c r="F18" s="90"/>
      <c r="G18" s="84"/>
      <c r="H18" s="85"/>
      <c r="I18" s="85"/>
      <c r="J18" s="84"/>
      <c r="K18" s="85"/>
      <c r="L18" s="86"/>
      <c r="M18" s="85"/>
      <c r="N18" s="85"/>
      <c r="O18" s="87"/>
      <c r="P18" s="84"/>
      <c r="Q18" s="85"/>
      <c r="R18" s="86"/>
      <c r="S18" s="88"/>
      <c r="T18" s="85"/>
      <c r="U18" s="87"/>
      <c r="V18" s="84"/>
      <c r="W18" s="85"/>
      <c r="X18" s="86"/>
      <c r="Y18" s="88"/>
      <c r="Z18" s="85"/>
      <c r="AA18" s="87"/>
      <c r="AB18" s="84"/>
      <c r="AC18" s="85"/>
      <c r="AD18" s="86"/>
      <c r="AE18" s="84"/>
      <c r="AF18" s="85"/>
      <c r="AG18" s="86"/>
      <c r="AH18" s="84"/>
      <c r="AI18" s="85"/>
      <c r="AJ18" s="86"/>
      <c r="AK18" s="84"/>
      <c r="AL18" s="85"/>
      <c r="AM18" s="86"/>
      <c r="AN18" s="85"/>
      <c r="AO18" s="85"/>
      <c r="AP18" s="89"/>
    </row>
    <row r="19" spans="2:42" ht="20.25" customHeight="1" x14ac:dyDescent="0.15">
      <c r="B19" s="457"/>
      <c r="C19" s="460"/>
      <c r="D19" s="461"/>
      <c r="E19" s="461"/>
      <c r="F19" s="91"/>
      <c r="G19" s="92"/>
      <c r="H19" s="93"/>
      <c r="I19" s="93"/>
      <c r="J19" s="94"/>
      <c r="K19" s="95"/>
      <c r="L19" s="96"/>
      <c r="M19" s="93"/>
      <c r="N19" s="93"/>
      <c r="O19" s="97"/>
      <c r="P19" s="94"/>
      <c r="Q19" s="95"/>
      <c r="R19" s="96"/>
      <c r="S19" s="98"/>
      <c r="T19" s="93"/>
      <c r="U19" s="97"/>
      <c r="V19" s="94"/>
      <c r="W19" s="95"/>
      <c r="X19" s="96"/>
      <c r="Y19" s="98"/>
      <c r="Z19" s="93"/>
      <c r="AA19" s="97"/>
      <c r="AB19" s="94"/>
      <c r="AC19" s="95"/>
      <c r="AD19" s="96"/>
      <c r="AE19" s="94"/>
      <c r="AF19" s="95"/>
      <c r="AG19" s="96"/>
      <c r="AH19" s="94"/>
      <c r="AI19" s="95"/>
      <c r="AJ19" s="96"/>
      <c r="AK19" s="94"/>
      <c r="AL19" s="95"/>
      <c r="AM19" s="96"/>
      <c r="AN19" s="95"/>
      <c r="AO19" s="95"/>
      <c r="AP19" s="99"/>
    </row>
    <row r="20" spans="2:42" ht="20.25" customHeight="1" x14ac:dyDescent="0.15">
      <c r="B20" s="488" t="s">
        <v>70</v>
      </c>
      <c r="C20" s="471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3"/>
    </row>
    <row r="21" spans="2:42" ht="20.25" customHeight="1" x14ac:dyDescent="0.15">
      <c r="B21" s="438"/>
      <c r="C21" s="489" t="s">
        <v>265</v>
      </c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100"/>
      <c r="W21" s="100"/>
      <c r="Y21" s="474"/>
      <c r="Z21" s="474"/>
      <c r="AA21" s="474"/>
      <c r="AB21" s="474"/>
      <c r="AC21" s="100"/>
      <c r="AD21" s="100"/>
      <c r="AI21" s="100"/>
      <c r="AJ21" s="100"/>
      <c r="AK21" s="100"/>
      <c r="AL21" s="100"/>
      <c r="AM21" s="100"/>
      <c r="AN21" s="100"/>
      <c r="AO21" s="100"/>
      <c r="AP21" s="101"/>
    </row>
    <row r="22" spans="2:42" ht="20.25" customHeight="1" thickBot="1" x14ac:dyDescent="0.2">
      <c r="B22" s="448"/>
      <c r="C22" s="475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7"/>
    </row>
    <row r="23" spans="2:42" ht="9.9499999999999993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2:42" ht="24.95" customHeight="1" thickBot="1" x14ac:dyDescent="0.2">
      <c r="B24" s="68" t="s">
        <v>97</v>
      </c>
    </row>
    <row r="25" spans="2:42" ht="20.25" customHeight="1" thickBot="1" x14ac:dyDescent="0.2">
      <c r="B25" s="478" t="s">
        <v>16</v>
      </c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80"/>
      <c r="O25" s="481" t="s">
        <v>15</v>
      </c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3"/>
    </row>
    <row r="26" spans="2:42" ht="43.5" customHeight="1" x14ac:dyDescent="0.15">
      <c r="B26" s="484" t="s">
        <v>11</v>
      </c>
      <c r="C26" s="467"/>
      <c r="D26" s="467"/>
      <c r="E26" s="485" t="s">
        <v>277</v>
      </c>
      <c r="F26" s="486"/>
      <c r="G26" s="486"/>
      <c r="H26" s="486"/>
      <c r="I26" s="486"/>
      <c r="J26" s="486"/>
      <c r="K26" s="486"/>
      <c r="L26" s="486"/>
      <c r="M26" s="486"/>
      <c r="N26" s="487"/>
      <c r="O26" s="466" t="s">
        <v>8</v>
      </c>
      <c r="P26" s="467"/>
      <c r="Q26" s="467"/>
      <c r="R26" s="467"/>
      <c r="S26" s="467"/>
      <c r="T26" s="468" t="s">
        <v>452</v>
      </c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70"/>
    </row>
    <row r="27" spans="2:42" ht="43.5" customHeight="1" x14ac:dyDescent="0.15">
      <c r="B27" s="494" t="s">
        <v>12</v>
      </c>
      <c r="C27" s="495"/>
      <c r="D27" s="495"/>
      <c r="E27" s="496" t="s">
        <v>278</v>
      </c>
      <c r="F27" s="497"/>
      <c r="G27" s="497"/>
      <c r="H27" s="497"/>
      <c r="I27" s="497"/>
      <c r="J27" s="497"/>
      <c r="K27" s="497"/>
      <c r="L27" s="497"/>
      <c r="M27" s="497"/>
      <c r="N27" s="498"/>
      <c r="O27" s="499" t="s">
        <v>9</v>
      </c>
      <c r="P27" s="495"/>
      <c r="Q27" s="495"/>
      <c r="R27" s="495"/>
      <c r="S27" s="495"/>
      <c r="T27" s="496" t="s">
        <v>453</v>
      </c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8"/>
    </row>
    <row r="28" spans="2:42" ht="43.5" customHeight="1" x14ac:dyDescent="0.15">
      <c r="B28" s="494" t="s">
        <v>13</v>
      </c>
      <c r="C28" s="495"/>
      <c r="D28" s="495"/>
      <c r="E28" s="496" t="s">
        <v>279</v>
      </c>
      <c r="F28" s="497"/>
      <c r="G28" s="497"/>
      <c r="H28" s="497"/>
      <c r="I28" s="497"/>
      <c r="J28" s="497"/>
      <c r="K28" s="497"/>
      <c r="L28" s="497"/>
      <c r="M28" s="497"/>
      <c r="N28" s="498"/>
      <c r="O28" s="499" t="s">
        <v>10</v>
      </c>
      <c r="P28" s="495"/>
      <c r="Q28" s="495"/>
      <c r="R28" s="495"/>
      <c r="S28" s="495"/>
      <c r="T28" s="496" t="s">
        <v>454</v>
      </c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8"/>
    </row>
    <row r="29" spans="2:42" ht="43.5" customHeight="1" thickBot="1" x14ac:dyDescent="0.2">
      <c r="B29" s="502" t="s">
        <v>14</v>
      </c>
      <c r="C29" s="501"/>
      <c r="D29" s="501"/>
      <c r="E29" s="491" t="s">
        <v>280</v>
      </c>
      <c r="F29" s="492"/>
      <c r="G29" s="492"/>
      <c r="H29" s="492"/>
      <c r="I29" s="492"/>
      <c r="J29" s="492"/>
      <c r="K29" s="492"/>
      <c r="L29" s="492"/>
      <c r="M29" s="492"/>
      <c r="N29" s="493"/>
      <c r="O29" s="500"/>
      <c r="P29" s="501"/>
      <c r="Q29" s="501"/>
      <c r="R29" s="501"/>
      <c r="S29" s="501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3"/>
    </row>
    <row r="30" spans="2:42" ht="9.9499999999999993" customHeight="1" x14ac:dyDescent="0.15">
      <c r="B30" s="74"/>
    </row>
  </sheetData>
  <mergeCells count="90">
    <mergeCell ref="W16:X16"/>
    <mergeCell ref="C2:D2"/>
    <mergeCell ref="F2:N2"/>
    <mergeCell ref="Y2:AA2"/>
    <mergeCell ref="O2:Q2"/>
    <mergeCell ref="R2:U2"/>
    <mergeCell ref="V2:X2"/>
    <mergeCell ref="Q11:X11"/>
    <mergeCell ref="Y11:AA11"/>
    <mergeCell ref="N11:P11"/>
    <mergeCell ref="H10:M10"/>
    <mergeCell ref="N10:P10"/>
    <mergeCell ref="J12:L12"/>
    <mergeCell ref="M12:O12"/>
    <mergeCell ref="B10:C10"/>
    <mergeCell ref="D10:G10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3:E13"/>
    <mergeCell ref="C14:E14"/>
    <mergeCell ref="C15:E15"/>
    <mergeCell ref="AB12:AD12"/>
    <mergeCell ref="AE12:AG12"/>
    <mergeCell ref="Q14:R14"/>
    <mergeCell ref="T15:U15"/>
    <mergeCell ref="AH12:AJ12"/>
    <mergeCell ref="AK12:AM12"/>
    <mergeCell ref="P12:R12"/>
    <mergeCell ref="S12:U12"/>
    <mergeCell ref="V12:X12"/>
    <mergeCell ref="Y12:AA12"/>
    <mergeCell ref="C12:E12"/>
    <mergeCell ref="G12:I12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D9:G9"/>
    <mergeCell ref="H9:M9"/>
    <mergeCell ref="N9:P9"/>
    <mergeCell ref="B8:C8"/>
    <mergeCell ref="D8:G8"/>
    <mergeCell ref="H8:M8"/>
    <mergeCell ref="N8:P8"/>
    <mergeCell ref="P13:Q13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75" workbookViewId="0"/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13" width="16.5" style="68" customWidth="1"/>
    <col min="14" max="16384" width="9" style="68"/>
  </cols>
  <sheetData>
    <row r="1" spans="2:13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3" ht="24.95" customHeight="1" thickBot="1" x14ac:dyDescent="0.2">
      <c r="B2" s="270" t="s">
        <v>390</v>
      </c>
      <c r="F2" s="293" t="s">
        <v>198</v>
      </c>
      <c r="G2" s="270" t="s">
        <v>389</v>
      </c>
      <c r="I2" s="293" t="s">
        <v>199</v>
      </c>
      <c r="J2" s="270" t="s">
        <v>391</v>
      </c>
    </row>
    <row r="3" spans="2:13" ht="37.9" customHeight="1" x14ac:dyDescent="0.15">
      <c r="B3" s="525" t="s">
        <v>91</v>
      </c>
      <c r="C3" s="526"/>
      <c r="D3" s="69" t="s">
        <v>281</v>
      </c>
      <c r="E3" s="69" t="s">
        <v>282</v>
      </c>
      <c r="F3" s="69" t="s">
        <v>283</v>
      </c>
      <c r="G3" s="69" t="s">
        <v>284</v>
      </c>
      <c r="H3" s="69" t="s">
        <v>297</v>
      </c>
      <c r="I3" s="69" t="s">
        <v>290</v>
      </c>
      <c r="J3" s="69" t="s">
        <v>491</v>
      </c>
      <c r="K3" s="361" t="s">
        <v>285</v>
      </c>
      <c r="L3" s="361" t="s">
        <v>286</v>
      </c>
      <c r="M3" s="417" t="s">
        <v>386</v>
      </c>
    </row>
    <row r="4" spans="2:13" ht="150" customHeight="1" x14ac:dyDescent="0.15">
      <c r="B4" s="524" t="s">
        <v>82</v>
      </c>
      <c r="C4" s="70" t="s">
        <v>83</v>
      </c>
      <c r="D4" s="378" t="s">
        <v>455</v>
      </c>
      <c r="E4" s="378" t="s">
        <v>456</v>
      </c>
      <c r="F4" s="378" t="s">
        <v>457</v>
      </c>
      <c r="G4" s="378" t="s">
        <v>458</v>
      </c>
      <c r="H4" s="378" t="s">
        <v>459</v>
      </c>
      <c r="I4" s="378" t="s">
        <v>460</v>
      </c>
      <c r="J4" s="378" t="s">
        <v>461</v>
      </c>
      <c r="K4" s="378" t="s">
        <v>462</v>
      </c>
      <c r="L4" s="378" t="s">
        <v>463</v>
      </c>
      <c r="M4" s="418" t="s">
        <v>464</v>
      </c>
    </row>
    <row r="5" spans="2:13" ht="39.950000000000003" customHeight="1" x14ac:dyDescent="0.15">
      <c r="B5" s="524"/>
      <c r="C5" s="70" t="s">
        <v>84</v>
      </c>
      <c r="D5" s="380" t="s">
        <v>293</v>
      </c>
      <c r="E5" s="380" t="s">
        <v>296</v>
      </c>
      <c r="F5" s="380" t="s">
        <v>288</v>
      </c>
      <c r="G5" s="380" t="s">
        <v>442</v>
      </c>
      <c r="H5" s="381" t="s">
        <v>423</v>
      </c>
      <c r="I5" s="381" t="s">
        <v>291</v>
      </c>
      <c r="J5" s="381" t="s">
        <v>292</v>
      </c>
      <c r="K5" s="381" t="s">
        <v>289</v>
      </c>
      <c r="L5" s="381" t="s">
        <v>294</v>
      </c>
      <c r="M5" s="419" t="s">
        <v>295</v>
      </c>
    </row>
    <row r="6" spans="2:13" ht="150" customHeight="1" x14ac:dyDescent="0.15">
      <c r="B6" s="524"/>
      <c r="C6" s="70" t="s">
        <v>90</v>
      </c>
      <c r="D6" s="382" t="s">
        <v>465</v>
      </c>
      <c r="E6" s="382"/>
      <c r="F6" s="382"/>
      <c r="G6" s="382"/>
      <c r="H6" s="383"/>
      <c r="I6" s="383" t="s">
        <v>466</v>
      </c>
      <c r="J6" s="383" t="s">
        <v>492</v>
      </c>
      <c r="K6" s="383" t="s">
        <v>467</v>
      </c>
      <c r="L6" s="383" t="s">
        <v>468</v>
      </c>
      <c r="M6" s="384" t="s">
        <v>469</v>
      </c>
    </row>
    <row r="7" spans="2:13" ht="20.25" customHeight="1" x14ac:dyDescent="0.15">
      <c r="B7" s="524"/>
      <c r="C7" s="73" t="s">
        <v>87</v>
      </c>
      <c r="D7" s="71">
        <v>8</v>
      </c>
      <c r="E7" s="71"/>
      <c r="F7" s="71"/>
      <c r="G7" s="71"/>
      <c r="H7" s="70"/>
      <c r="I7" s="70"/>
      <c r="J7" s="70">
        <v>185</v>
      </c>
      <c r="K7" s="70">
        <v>26</v>
      </c>
      <c r="L7" s="70"/>
      <c r="M7" s="72"/>
    </row>
    <row r="8" spans="2:13" ht="20.25" customHeight="1" x14ac:dyDescent="0.15">
      <c r="B8" s="524"/>
      <c r="C8" s="71" t="s">
        <v>88</v>
      </c>
      <c r="D8" s="71">
        <v>33</v>
      </c>
      <c r="E8" s="71">
        <v>28</v>
      </c>
      <c r="F8" s="71">
        <v>13</v>
      </c>
      <c r="G8" s="71">
        <v>29</v>
      </c>
      <c r="H8" s="403" t="s">
        <v>385</v>
      </c>
      <c r="I8" s="70">
        <v>131</v>
      </c>
      <c r="J8" s="70">
        <v>185</v>
      </c>
      <c r="K8" s="70">
        <v>26</v>
      </c>
      <c r="L8" s="70">
        <v>132</v>
      </c>
      <c r="M8" s="72">
        <v>15</v>
      </c>
    </row>
    <row r="9" spans="2:13" ht="20.25" customHeight="1" x14ac:dyDescent="0.15">
      <c r="B9" s="524"/>
      <c r="C9" s="70" t="s">
        <v>89</v>
      </c>
      <c r="D9" s="70" t="s">
        <v>387</v>
      </c>
      <c r="E9" s="385" t="s">
        <v>387</v>
      </c>
      <c r="F9" s="385" t="s">
        <v>387</v>
      </c>
      <c r="G9" s="385" t="s">
        <v>387</v>
      </c>
      <c r="H9" s="385" t="s">
        <v>387</v>
      </c>
      <c r="I9" s="385" t="s">
        <v>387</v>
      </c>
      <c r="J9" s="385" t="s">
        <v>387</v>
      </c>
      <c r="K9" s="385" t="s">
        <v>387</v>
      </c>
      <c r="L9" s="385" t="s">
        <v>387</v>
      </c>
      <c r="M9" s="72" t="s">
        <v>387</v>
      </c>
    </row>
    <row r="10" spans="2:13" ht="150" customHeight="1" x14ac:dyDescent="0.15">
      <c r="B10" s="529" t="s">
        <v>85</v>
      </c>
      <c r="C10" s="530"/>
      <c r="D10" s="402" t="s">
        <v>470</v>
      </c>
      <c r="E10" s="378" t="s">
        <v>475</v>
      </c>
      <c r="F10" s="378"/>
      <c r="G10" s="379"/>
      <c r="H10" s="379" t="s">
        <v>471</v>
      </c>
      <c r="I10" s="379"/>
      <c r="J10" s="379" t="s">
        <v>472</v>
      </c>
      <c r="K10" s="379" t="s">
        <v>388</v>
      </c>
      <c r="L10" s="379" t="s">
        <v>473</v>
      </c>
      <c r="M10" s="398" t="s">
        <v>474</v>
      </c>
    </row>
    <row r="11" spans="2:13" ht="150" customHeight="1" thickBot="1" x14ac:dyDescent="0.2">
      <c r="B11" s="527" t="s">
        <v>86</v>
      </c>
      <c r="C11" s="528"/>
      <c r="D11" s="414" t="s">
        <v>482</v>
      </c>
      <c r="E11" s="414" t="s">
        <v>483</v>
      </c>
      <c r="F11" s="414" t="s">
        <v>484</v>
      </c>
      <c r="G11" s="415" t="s">
        <v>485</v>
      </c>
      <c r="H11" s="415" t="s">
        <v>486</v>
      </c>
      <c r="I11" s="415" t="s">
        <v>493</v>
      </c>
      <c r="J11" s="415" t="s">
        <v>487</v>
      </c>
      <c r="K11" s="415" t="s">
        <v>488</v>
      </c>
      <c r="L11" s="415" t="s">
        <v>489</v>
      </c>
      <c r="M11" s="416" t="s">
        <v>490</v>
      </c>
    </row>
    <row r="12" spans="2:13" ht="9.9499999999999993" customHeight="1" x14ac:dyDescent="0.15">
      <c r="B12" s="74"/>
      <c r="D12" s="270" t="s">
        <v>481</v>
      </c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5" zoomScaleNormal="75" zoomScaleSheetLayoutView="100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9" width="20.625" style="10" hidden="1" customWidth="1"/>
    <col min="10" max="16" width="12.625" style="10" customWidth="1"/>
    <col min="17" max="16384" width="9" style="10"/>
  </cols>
  <sheetData>
    <row r="1" spans="2:16" ht="9.9499999999999993" customHeight="1" x14ac:dyDescent="0.15"/>
    <row r="2" spans="2:16" ht="24.95" customHeight="1" thickBot="1" x14ac:dyDescent="0.2">
      <c r="B2" s="11" t="s">
        <v>81</v>
      </c>
      <c r="C2" s="12"/>
      <c r="D2" s="12"/>
      <c r="O2" s="13"/>
      <c r="P2" s="13"/>
    </row>
    <row r="3" spans="2:16" ht="20.25" customHeight="1" x14ac:dyDescent="0.15">
      <c r="B3" s="570" t="s">
        <v>253</v>
      </c>
      <c r="C3" s="571"/>
      <c r="D3" s="571"/>
      <c r="E3" s="571"/>
      <c r="F3" s="14" t="s">
        <v>22</v>
      </c>
      <c r="G3" s="14" t="s">
        <v>364</v>
      </c>
      <c r="H3" s="336"/>
      <c r="I3" s="327"/>
      <c r="J3" s="551" t="s">
        <v>252</v>
      </c>
      <c r="K3" s="552"/>
      <c r="L3" s="552"/>
      <c r="M3" s="552"/>
      <c r="N3" s="552"/>
      <c r="O3" s="552"/>
      <c r="P3" s="553"/>
    </row>
    <row r="4" spans="2:16" ht="20.25" customHeight="1" thickBot="1" x14ac:dyDescent="0.2">
      <c r="B4" s="572"/>
      <c r="C4" s="573"/>
      <c r="D4" s="573"/>
      <c r="E4" s="573"/>
      <c r="F4" s="15"/>
      <c r="G4" s="326">
        <v>80</v>
      </c>
      <c r="H4" s="337"/>
      <c r="I4" s="326"/>
      <c r="J4" s="554"/>
      <c r="K4" s="555"/>
      <c r="L4" s="555"/>
      <c r="M4" s="555"/>
      <c r="N4" s="555"/>
      <c r="O4" s="555"/>
      <c r="P4" s="556"/>
    </row>
    <row r="5" spans="2:16" ht="20.25" customHeight="1" x14ac:dyDescent="0.15">
      <c r="B5" s="582" t="s">
        <v>46</v>
      </c>
      <c r="C5" s="583"/>
      <c r="D5" s="16" t="s">
        <v>164</v>
      </c>
      <c r="E5" s="17"/>
      <c r="F5" s="18">
        <f>SUM(G5:I5)</f>
        <v>14565606.4</v>
      </c>
      <c r="G5" s="269">
        <f>'７　きく部門収支'!F4*G$4/10</f>
        <v>14565606.4</v>
      </c>
      <c r="H5" s="338"/>
      <c r="I5" s="328"/>
      <c r="J5" s="557"/>
      <c r="K5" s="558"/>
      <c r="L5" s="558"/>
      <c r="M5" s="558"/>
      <c r="N5" s="558"/>
      <c r="O5" s="558"/>
      <c r="P5" s="559"/>
    </row>
    <row r="6" spans="2:16" ht="20.25" customHeight="1" x14ac:dyDescent="0.15">
      <c r="B6" s="584"/>
      <c r="C6" s="585"/>
      <c r="D6" s="19" t="s">
        <v>73</v>
      </c>
      <c r="E6" s="20"/>
      <c r="F6" s="21">
        <f>SUM(G6:I6)</f>
        <v>0</v>
      </c>
      <c r="G6" s="24">
        <f>'７　きく部門収支'!F5*G$4/10</f>
        <v>0</v>
      </c>
      <c r="H6" s="25"/>
      <c r="I6" s="24"/>
      <c r="J6" s="548"/>
      <c r="K6" s="549"/>
      <c r="L6" s="549"/>
      <c r="M6" s="549"/>
      <c r="N6" s="549"/>
      <c r="O6" s="549"/>
      <c r="P6" s="550"/>
    </row>
    <row r="7" spans="2:16" ht="20.25" customHeight="1" x14ac:dyDescent="0.15">
      <c r="B7" s="586"/>
      <c r="C7" s="587"/>
      <c r="D7" s="574" t="s">
        <v>160</v>
      </c>
      <c r="E7" s="575"/>
      <c r="F7" s="22">
        <f>SUM(G7,J7,O7)</f>
        <v>14565606.4</v>
      </c>
      <c r="G7" s="23">
        <f>G5+G6</f>
        <v>14565606.4</v>
      </c>
      <c r="H7" s="23">
        <f t="shared" ref="H7" si="0">H5+H6</f>
        <v>0</v>
      </c>
      <c r="I7" s="23"/>
      <c r="J7" s="548"/>
      <c r="K7" s="549"/>
      <c r="L7" s="549"/>
      <c r="M7" s="549"/>
      <c r="N7" s="549"/>
      <c r="O7" s="549"/>
      <c r="P7" s="550"/>
    </row>
    <row r="8" spans="2:16" ht="20.25" customHeight="1" x14ac:dyDescent="0.15">
      <c r="B8" s="541" t="s">
        <v>239</v>
      </c>
      <c r="C8" s="533" t="s">
        <v>254</v>
      </c>
      <c r="D8" s="19" t="s">
        <v>47</v>
      </c>
      <c r="E8" s="20"/>
      <c r="F8" s="21">
        <f t="shared" ref="F8:F33" si="1">SUM(G8:I8)</f>
        <v>625800</v>
      </c>
      <c r="G8" s="24">
        <f>'７　きく部門収支'!F6*G$4/10</f>
        <v>625800</v>
      </c>
      <c r="H8" s="25"/>
      <c r="I8" s="24"/>
      <c r="J8" s="548" t="s">
        <v>444</v>
      </c>
      <c r="K8" s="549"/>
      <c r="L8" s="549"/>
      <c r="M8" s="549"/>
      <c r="N8" s="549"/>
      <c r="O8" s="549"/>
      <c r="P8" s="550"/>
    </row>
    <row r="9" spans="2:16" ht="20.25" customHeight="1" x14ac:dyDescent="0.15">
      <c r="B9" s="542"/>
      <c r="C9" s="534"/>
      <c r="D9" s="19" t="s">
        <v>48</v>
      </c>
      <c r="E9" s="20"/>
      <c r="F9" s="21">
        <f t="shared" si="1"/>
        <v>445920</v>
      </c>
      <c r="G9" s="24">
        <f>'７　きく部門収支'!F7*G$4/10</f>
        <v>445920</v>
      </c>
      <c r="H9" s="25"/>
      <c r="I9" s="24"/>
      <c r="J9" s="548"/>
      <c r="K9" s="549"/>
      <c r="L9" s="549"/>
      <c r="M9" s="549"/>
      <c r="N9" s="549"/>
      <c r="O9" s="549"/>
      <c r="P9" s="550"/>
    </row>
    <row r="10" spans="2:16" ht="20.25" customHeight="1" x14ac:dyDescent="0.15">
      <c r="B10" s="542"/>
      <c r="C10" s="534"/>
      <c r="D10" s="19" t="s">
        <v>49</v>
      </c>
      <c r="E10" s="20"/>
      <c r="F10" s="21">
        <f t="shared" si="1"/>
        <v>884552</v>
      </c>
      <c r="G10" s="24">
        <f>'７　きく部門収支'!F8*G$4/10</f>
        <v>884552</v>
      </c>
      <c r="H10" s="25"/>
      <c r="I10" s="24"/>
      <c r="J10" s="548"/>
      <c r="K10" s="549"/>
      <c r="L10" s="549"/>
      <c r="M10" s="549"/>
      <c r="N10" s="549"/>
      <c r="O10" s="549"/>
      <c r="P10" s="550"/>
    </row>
    <row r="11" spans="2:16" ht="20.25" customHeight="1" x14ac:dyDescent="0.15">
      <c r="B11" s="542"/>
      <c r="C11" s="534"/>
      <c r="D11" s="19" t="s">
        <v>74</v>
      </c>
      <c r="E11" s="20"/>
      <c r="F11" s="21">
        <f t="shared" si="1"/>
        <v>248487.84000000003</v>
      </c>
      <c r="G11" s="24">
        <f>'７　きく部門収支'!F9*G$4/10</f>
        <v>248487.84000000003</v>
      </c>
      <c r="H11" s="25"/>
      <c r="I11" s="24"/>
      <c r="J11" s="548"/>
      <c r="K11" s="549"/>
      <c r="L11" s="549"/>
      <c r="M11" s="549"/>
      <c r="N11" s="549"/>
      <c r="O11" s="549"/>
      <c r="P11" s="550"/>
    </row>
    <row r="12" spans="2:16" ht="20.25" customHeight="1" x14ac:dyDescent="0.15">
      <c r="B12" s="542"/>
      <c r="C12" s="534"/>
      <c r="D12" s="19" t="s">
        <v>50</v>
      </c>
      <c r="E12" s="20"/>
      <c r="F12" s="21">
        <f t="shared" si="1"/>
        <v>885822.93333333335</v>
      </c>
      <c r="G12" s="24">
        <f>'７　きく部門収支'!F10*G$4/10</f>
        <v>885822.93333333335</v>
      </c>
      <c r="H12" s="25"/>
      <c r="I12" s="24"/>
      <c r="J12" s="548"/>
      <c r="K12" s="549"/>
      <c r="L12" s="549"/>
      <c r="M12" s="549"/>
      <c r="N12" s="549"/>
      <c r="O12" s="549"/>
      <c r="P12" s="550"/>
    </row>
    <row r="13" spans="2:16" ht="20.25" customHeight="1" x14ac:dyDescent="0.15">
      <c r="B13" s="542"/>
      <c r="C13" s="534"/>
      <c r="D13" s="19" t="s">
        <v>4</v>
      </c>
      <c r="E13" s="20"/>
      <c r="F13" s="21">
        <f>SUM(G13:I13)</f>
        <v>62443.333333333336</v>
      </c>
      <c r="G13" s="24">
        <f>'７　きく部門収支'!F11*G$4/10</f>
        <v>62443.333333333336</v>
      </c>
      <c r="H13" s="25"/>
      <c r="I13" s="24"/>
      <c r="J13" s="548"/>
      <c r="K13" s="549"/>
      <c r="L13" s="549"/>
      <c r="M13" s="549"/>
      <c r="N13" s="549"/>
      <c r="O13" s="549"/>
      <c r="P13" s="550"/>
    </row>
    <row r="14" spans="2:16" ht="20.25" customHeight="1" x14ac:dyDescent="0.15">
      <c r="B14" s="542"/>
      <c r="C14" s="534"/>
      <c r="D14" s="19" t="s">
        <v>5</v>
      </c>
      <c r="E14" s="20"/>
      <c r="F14" s="24">
        <f t="shared" si="1"/>
        <v>0</v>
      </c>
      <c r="G14" s="24">
        <f>'７　きく部門収支'!F12*G$4/10</f>
        <v>0</v>
      </c>
      <c r="H14" s="25"/>
      <c r="I14" s="24"/>
      <c r="J14" s="548"/>
      <c r="K14" s="549"/>
      <c r="L14" s="549"/>
      <c r="M14" s="549"/>
      <c r="N14" s="549"/>
      <c r="O14" s="549"/>
      <c r="P14" s="550"/>
    </row>
    <row r="15" spans="2:16" ht="20.25" customHeight="1" x14ac:dyDescent="0.15">
      <c r="B15" s="542"/>
      <c r="C15" s="534"/>
      <c r="D15" s="576" t="s">
        <v>51</v>
      </c>
      <c r="E15" s="318" t="s">
        <v>154</v>
      </c>
      <c r="F15" s="24">
        <f t="shared" si="1"/>
        <v>47680</v>
      </c>
      <c r="G15" s="24">
        <f>'７　きく部門収支'!F13*G$4/10</f>
        <v>47680</v>
      </c>
      <c r="H15" s="25"/>
      <c r="I15" s="24"/>
      <c r="J15" s="548"/>
      <c r="K15" s="549"/>
      <c r="L15" s="549"/>
      <c r="M15" s="549"/>
      <c r="N15" s="549"/>
      <c r="O15" s="549"/>
      <c r="P15" s="550"/>
    </row>
    <row r="16" spans="2:16" ht="20.25" customHeight="1" x14ac:dyDescent="0.15">
      <c r="B16" s="542"/>
      <c r="C16" s="534"/>
      <c r="D16" s="577"/>
      <c r="E16" s="318" t="s">
        <v>155</v>
      </c>
      <c r="F16" s="24">
        <f t="shared" si="1"/>
        <v>321000</v>
      </c>
      <c r="G16" s="24">
        <f>'７　きく部門収支'!F14*G$4/10</f>
        <v>321000</v>
      </c>
      <c r="H16" s="25"/>
      <c r="I16" s="24"/>
      <c r="J16" s="548"/>
      <c r="K16" s="549"/>
      <c r="L16" s="549"/>
      <c r="M16" s="549"/>
      <c r="N16" s="549"/>
      <c r="O16" s="549"/>
      <c r="P16" s="550"/>
    </row>
    <row r="17" spans="2:16" ht="20.25" customHeight="1" x14ac:dyDescent="0.15">
      <c r="B17" s="542"/>
      <c r="C17" s="534"/>
      <c r="D17" s="578" t="s">
        <v>75</v>
      </c>
      <c r="E17" s="318" t="s">
        <v>154</v>
      </c>
      <c r="F17" s="24">
        <f t="shared" si="1"/>
        <v>328397.60000000003</v>
      </c>
      <c r="G17" s="24">
        <f>'７　きく部門収支'!F15*G$4/10</f>
        <v>328397.60000000003</v>
      </c>
      <c r="H17" s="25"/>
      <c r="I17" s="24"/>
      <c r="J17" s="548"/>
      <c r="K17" s="549"/>
      <c r="L17" s="549"/>
      <c r="M17" s="549"/>
      <c r="N17" s="549"/>
      <c r="O17" s="549"/>
      <c r="P17" s="550"/>
    </row>
    <row r="18" spans="2:16" ht="20.25" customHeight="1" x14ac:dyDescent="0.15">
      <c r="B18" s="542"/>
      <c r="C18" s="534"/>
      <c r="D18" s="579"/>
      <c r="E18" s="318" t="s">
        <v>155</v>
      </c>
      <c r="F18" s="24">
        <f t="shared" si="1"/>
        <v>970702.00000000023</v>
      </c>
      <c r="G18" s="24">
        <f>'７　きく部門収支'!F16*G$4/10</f>
        <v>970702.00000000023</v>
      </c>
      <c r="H18" s="25"/>
      <c r="I18" s="24"/>
      <c r="J18" s="548"/>
      <c r="K18" s="549"/>
      <c r="L18" s="549"/>
      <c r="M18" s="549"/>
      <c r="N18" s="549"/>
      <c r="O18" s="549"/>
      <c r="P18" s="550"/>
    </row>
    <row r="19" spans="2:16" ht="20.25" customHeight="1" x14ac:dyDescent="0.15">
      <c r="B19" s="542"/>
      <c r="C19" s="534"/>
      <c r="D19" s="577"/>
      <c r="E19" s="319" t="s">
        <v>52</v>
      </c>
      <c r="F19" s="24">
        <f t="shared" si="1"/>
        <v>0</v>
      </c>
      <c r="G19" s="24">
        <f>'７　きく部門収支'!F17*G$4/10</f>
        <v>0</v>
      </c>
      <c r="H19" s="25"/>
      <c r="I19" s="24"/>
      <c r="J19" s="548"/>
      <c r="K19" s="549"/>
      <c r="L19" s="549"/>
      <c r="M19" s="549"/>
      <c r="N19" s="549"/>
      <c r="O19" s="549"/>
      <c r="P19" s="550"/>
    </row>
    <row r="20" spans="2:16" ht="20.25" customHeight="1" x14ac:dyDescent="0.15">
      <c r="B20" s="542"/>
      <c r="C20" s="534"/>
      <c r="D20" s="19" t="s">
        <v>53</v>
      </c>
      <c r="E20" s="20"/>
      <c r="F20" s="21">
        <f t="shared" si="1"/>
        <v>24000</v>
      </c>
      <c r="G20" s="24">
        <f>'７　きく部門収支'!F18*G$4/10</f>
        <v>24000</v>
      </c>
      <c r="H20" s="25"/>
      <c r="I20" s="24"/>
      <c r="J20" s="548"/>
      <c r="K20" s="549"/>
      <c r="L20" s="549"/>
      <c r="M20" s="549"/>
      <c r="N20" s="549"/>
      <c r="O20" s="549"/>
      <c r="P20" s="550"/>
    </row>
    <row r="21" spans="2:16" ht="20.25" customHeight="1" x14ac:dyDescent="0.15">
      <c r="B21" s="542"/>
      <c r="C21" s="534"/>
      <c r="D21" s="19" t="s">
        <v>132</v>
      </c>
      <c r="E21" s="20"/>
      <c r="F21" s="21">
        <f t="shared" si="1"/>
        <v>48937.431380471382</v>
      </c>
      <c r="G21" s="24">
        <f>'７　きく部門収支'!F19*G$4/10</f>
        <v>48937.431380471382</v>
      </c>
      <c r="H21" s="25"/>
      <c r="I21" s="24"/>
      <c r="J21" s="548"/>
      <c r="K21" s="549"/>
      <c r="L21" s="549"/>
      <c r="M21" s="549"/>
      <c r="N21" s="549"/>
      <c r="O21" s="549"/>
      <c r="P21" s="550"/>
    </row>
    <row r="22" spans="2:16" ht="20.25" customHeight="1" x14ac:dyDescent="0.15">
      <c r="B22" s="542"/>
      <c r="C22" s="535"/>
      <c r="D22" s="580" t="s">
        <v>161</v>
      </c>
      <c r="E22" s="581"/>
      <c r="F22" s="331">
        <f>SUM(F8:F21)</f>
        <v>4893743.1380471382</v>
      </c>
      <c r="G22" s="331">
        <f>SUM(G8:G21)</f>
        <v>4893743.1380471382</v>
      </c>
      <c r="H22" s="331">
        <f t="shared" ref="H22" si="2">SUM(H8:H21)</f>
        <v>0</v>
      </c>
      <c r="I22" s="331"/>
      <c r="J22" s="548"/>
      <c r="K22" s="549"/>
      <c r="L22" s="549"/>
      <c r="M22" s="549"/>
      <c r="N22" s="549"/>
      <c r="O22" s="549"/>
      <c r="P22" s="550"/>
    </row>
    <row r="23" spans="2:16" ht="20.25" customHeight="1" x14ac:dyDescent="0.15">
      <c r="B23" s="542"/>
      <c r="C23" s="536" t="s">
        <v>158</v>
      </c>
      <c r="D23" s="562" t="s">
        <v>54</v>
      </c>
      <c r="E23" s="27" t="s">
        <v>1</v>
      </c>
      <c r="F23" s="24">
        <f t="shared" si="1"/>
        <v>400080</v>
      </c>
      <c r="G23" s="24">
        <f>'７　きく部門収支'!F21*G$4/10</f>
        <v>400080</v>
      </c>
      <c r="H23" s="25"/>
      <c r="I23" s="24"/>
      <c r="J23" s="548"/>
      <c r="K23" s="549"/>
      <c r="L23" s="549"/>
      <c r="M23" s="549"/>
      <c r="N23" s="549"/>
      <c r="O23" s="549"/>
      <c r="P23" s="550"/>
    </row>
    <row r="24" spans="2:16" ht="20.25" customHeight="1" x14ac:dyDescent="0.15">
      <c r="B24" s="542"/>
      <c r="C24" s="537"/>
      <c r="D24" s="563"/>
      <c r="E24" s="27" t="s">
        <v>2</v>
      </c>
      <c r="F24" s="24">
        <f t="shared" si="1"/>
        <v>590587.20000000007</v>
      </c>
      <c r="G24" s="24">
        <f>'７　きく部門収支'!F22*G$4/10</f>
        <v>590587.20000000007</v>
      </c>
      <c r="H24" s="25"/>
      <c r="I24" s="24"/>
      <c r="J24" s="548"/>
      <c r="K24" s="549"/>
      <c r="L24" s="549"/>
      <c r="M24" s="549"/>
      <c r="N24" s="549"/>
      <c r="O24" s="549"/>
      <c r="P24" s="550"/>
    </row>
    <row r="25" spans="2:16" ht="20.25" customHeight="1" x14ac:dyDescent="0.15">
      <c r="B25" s="542"/>
      <c r="C25" s="537"/>
      <c r="D25" s="564"/>
      <c r="E25" s="27" t="s">
        <v>6</v>
      </c>
      <c r="F25" s="24">
        <f t="shared" si="1"/>
        <v>2112012.9279999998</v>
      </c>
      <c r="G25" s="24">
        <f>'７　きく部門収支'!F23*G$4/10</f>
        <v>2112012.9279999998</v>
      </c>
      <c r="H25" s="25"/>
      <c r="I25" s="24"/>
      <c r="J25" s="548"/>
      <c r="K25" s="549"/>
      <c r="L25" s="549"/>
      <c r="M25" s="549"/>
      <c r="N25" s="549"/>
      <c r="O25" s="549"/>
      <c r="P25" s="550"/>
    </row>
    <row r="26" spans="2:16" ht="20.25" customHeight="1" x14ac:dyDescent="0.15">
      <c r="B26" s="542"/>
      <c r="C26" s="537"/>
      <c r="D26" s="27" t="s">
        <v>237</v>
      </c>
      <c r="E26" s="28"/>
      <c r="F26" s="24">
        <f t="shared" si="1"/>
        <v>16000</v>
      </c>
      <c r="G26" s="24">
        <f>'７　きく部門収支'!F24*G$4/10</f>
        <v>16000</v>
      </c>
      <c r="H26" s="25"/>
      <c r="I26" s="24"/>
      <c r="J26" s="548"/>
      <c r="K26" s="549"/>
      <c r="L26" s="549"/>
      <c r="M26" s="549"/>
      <c r="N26" s="549"/>
      <c r="O26" s="549"/>
      <c r="P26" s="550"/>
    </row>
    <row r="27" spans="2:16" ht="20.25" customHeight="1" x14ac:dyDescent="0.15">
      <c r="B27" s="542"/>
      <c r="C27" s="537"/>
      <c r="D27" s="27" t="s">
        <v>76</v>
      </c>
      <c r="E27" s="28"/>
      <c r="F27" s="24">
        <f t="shared" si="1"/>
        <v>16000</v>
      </c>
      <c r="G27" s="24">
        <f>'７　きく部門収支'!F25*G$4/10</f>
        <v>16000</v>
      </c>
      <c r="H27" s="25"/>
      <c r="I27" s="24"/>
      <c r="J27" s="548"/>
      <c r="K27" s="549"/>
      <c r="L27" s="549"/>
      <c r="M27" s="549"/>
      <c r="N27" s="549"/>
      <c r="O27" s="549"/>
      <c r="P27" s="550"/>
    </row>
    <row r="28" spans="2:16" ht="20.25" customHeight="1" x14ac:dyDescent="0.15">
      <c r="B28" s="542"/>
      <c r="C28" s="537"/>
      <c r="D28" s="27" t="s">
        <v>98</v>
      </c>
      <c r="E28" s="28"/>
      <c r="F28" s="24">
        <f t="shared" si="1"/>
        <v>89320</v>
      </c>
      <c r="G28" s="24">
        <f>'７　きく部門収支'!F26*G$4/10</f>
        <v>89320</v>
      </c>
      <c r="H28" s="25"/>
      <c r="I28" s="24"/>
      <c r="J28" s="548"/>
      <c r="K28" s="549"/>
      <c r="L28" s="549"/>
      <c r="M28" s="549"/>
      <c r="N28" s="549"/>
      <c r="O28" s="549"/>
      <c r="P28" s="550"/>
    </row>
    <row r="29" spans="2:16" ht="20.25" customHeight="1" x14ac:dyDescent="0.15">
      <c r="B29" s="542"/>
      <c r="C29" s="537"/>
      <c r="D29" s="27" t="s">
        <v>77</v>
      </c>
      <c r="E29" s="28"/>
      <c r="F29" s="24">
        <f t="shared" si="1"/>
        <v>0</v>
      </c>
      <c r="G29" s="24">
        <f>'７　きく部門収支'!F27*G$4/10</f>
        <v>0</v>
      </c>
      <c r="H29" s="25"/>
      <c r="I29" s="24"/>
      <c r="J29" s="548"/>
      <c r="K29" s="549"/>
      <c r="L29" s="549"/>
      <c r="M29" s="549"/>
      <c r="N29" s="549"/>
      <c r="O29" s="549"/>
      <c r="P29" s="550"/>
    </row>
    <row r="30" spans="2:16" ht="20.25" customHeight="1" x14ac:dyDescent="0.15">
      <c r="B30" s="542"/>
      <c r="C30" s="537"/>
      <c r="D30" s="27" t="s">
        <v>55</v>
      </c>
      <c r="E30" s="28"/>
      <c r="F30" s="24">
        <f t="shared" si="1"/>
        <v>419000.1535999999</v>
      </c>
      <c r="G30" s="24">
        <f>'７　きく部門収支'!F28*G$4/10</f>
        <v>419000.1535999999</v>
      </c>
      <c r="H30" s="25"/>
      <c r="I30" s="24"/>
      <c r="J30" s="548"/>
      <c r="K30" s="549"/>
      <c r="L30" s="549"/>
      <c r="M30" s="549"/>
      <c r="N30" s="549"/>
      <c r="O30" s="549"/>
      <c r="P30" s="550"/>
    </row>
    <row r="31" spans="2:16" ht="20.25" customHeight="1" x14ac:dyDescent="0.15">
      <c r="B31" s="542"/>
      <c r="C31" s="537"/>
      <c r="D31" s="27" t="s">
        <v>238</v>
      </c>
      <c r="E31" s="28"/>
      <c r="F31" s="24">
        <f t="shared" si="1"/>
        <v>36430.002816</v>
      </c>
      <c r="G31" s="24">
        <f>'７　きく部門収支'!F29*G$4/10</f>
        <v>36430.002816</v>
      </c>
      <c r="H31" s="25"/>
      <c r="I31" s="24"/>
      <c r="J31" s="548"/>
      <c r="K31" s="549"/>
      <c r="L31" s="549"/>
      <c r="M31" s="549"/>
      <c r="N31" s="549"/>
      <c r="O31" s="549"/>
      <c r="P31" s="550"/>
    </row>
    <row r="32" spans="2:16" ht="20.25" customHeight="1" x14ac:dyDescent="0.15">
      <c r="B32" s="542"/>
      <c r="C32" s="537"/>
      <c r="D32" s="565" t="s">
        <v>240</v>
      </c>
      <c r="E32" s="566"/>
      <c r="F32" s="329">
        <f>SUM(F23:F31)</f>
        <v>3679430.2844159999</v>
      </c>
      <c r="G32" s="329">
        <f>SUM(G23:G31)</f>
        <v>3679430.2844159999</v>
      </c>
      <c r="H32" s="339"/>
      <c r="I32" s="345"/>
      <c r="J32" s="548"/>
      <c r="K32" s="549"/>
      <c r="L32" s="549"/>
      <c r="M32" s="549"/>
      <c r="N32" s="549"/>
      <c r="O32" s="549"/>
      <c r="P32" s="550"/>
    </row>
    <row r="33" spans="2:16" ht="20.25" customHeight="1" x14ac:dyDescent="0.15">
      <c r="B33" s="542"/>
      <c r="C33" s="567" t="s">
        <v>241</v>
      </c>
      <c r="D33" s="568"/>
      <c r="E33" s="569"/>
      <c r="F33" s="24">
        <f t="shared" si="1"/>
        <v>917100</v>
      </c>
      <c r="G33" s="330">
        <f>'５　きく作業時間'!AN38*'４　経営収支'!K33</f>
        <v>917100</v>
      </c>
      <c r="H33" s="340"/>
      <c r="I33" s="346"/>
      <c r="J33" s="411" t="s">
        <v>243</v>
      </c>
      <c r="K33" s="412">
        <v>900</v>
      </c>
      <c r="L33" s="412" t="s">
        <v>244</v>
      </c>
      <c r="M33" s="412"/>
      <c r="N33" s="412"/>
      <c r="O33" s="412"/>
      <c r="P33" s="413"/>
    </row>
    <row r="34" spans="2:16" ht="20.25" customHeight="1" x14ac:dyDescent="0.15">
      <c r="B34" s="560" t="s">
        <v>242</v>
      </c>
      <c r="C34" s="561"/>
      <c r="D34" s="561"/>
      <c r="E34" s="561"/>
      <c r="F34" s="332">
        <f>F22+F32+F33</f>
        <v>9490273.4224631377</v>
      </c>
      <c r="G34" s="332">
        <f>G22+G32+G33</f>
        <v>9490273.4224631377</v>
      </c>
      <c r="H34" s="341"/>
      <c r="I34" s="332"/>
      <c r="J34" s="545"/>
      <c r="K34" s="546"/>
      <c r="L34" s="546"/>
      <c r="M34" s="546"/>
      <c r="N34" s="546"/>
      <c r="O34" s="546"/>
      <c r="P34" s="547"/>
    </row>
    <row r="35" spans="2:16" ht="20.25" customHeight="1" x14ac:dyDescent="0.15">
      <c r="B35" s="531" t="s">
        <v>245</v>
      </c>
      <c r="C35" s="532"/>
      <c r="D35" s="532"/>
      <c r="E35" s="532"/>
      <c r="F35" s="333">
        <f>F7-F34</f>
        <v>5075332.9775368627</v>
      </c>
      <c r="G35" s="333">
        <f>G7-G34</f>
        <v>5075332.9775368627</v>
      </c>
      <c r="H35" s="342"/>
      <c r="I35" s="333"/>
      <c r="J35" s="545"/>
      <c r="K35" s="546"/>
      <c r="L35" s="546"/>
      <c r="M35" s="546"/>
      <c r="N35" s="546"/>
      <c r="O35" s="546"/>
      <c r="P35" s="547"/>
    </row>
    <row r="36" spans="2:16" ht="20.25" customHeight="1" x14ac:dyDescent="0.15">
      <c r="B36" s="531" t="s">
        <v>246</v>
      </c>
      <c r="C36" s="532"/>
      <c r="D36" s="532"/>
      <c r="E36" s="532"/>
      <c r="F36" s="334">
        <f>F35/F7</f>
        <v>0.34844639063821348</v>
      </c>
      <c r="G36" s="334">
        <f>G35/G7</f>
        <v>0.34844639063821348</v>
      </c>
      <c r="H36" s="343"/>
      <c r="I36" s="334"/>
      <c r="J36" s="545"/>
      <c r="K36" s="546"/>
      <c r="L36" s="546"/>
      <c r="M36" s="546"/>
      <c r="N36" s="546"/>
      <c r="O36" s="546"/>
      <c r="P36" s="547"/>
    </row>
    <row r="37" spans="2:16" ht="20.25" customHeight="1" x14ac:dyDescent="0.15">
      <c r="B37" s="531" t="s">
        <v>250</v>
      </c>
      <c r="C37" s="532"/>
      <c r="D37" s="532"/>
      <c r="E37" s="532"/>
      <c r="F37" s="333">
        <f>SUM(G37:I37)</f>
        <v>5614</v>
      </c>
      <c r="G37" s="333">
        <f>K37+N37</f>
        <v>5614</v>
      </c>
      <c r="H37" s="342"/>
      <c r="I37" s="333"/>
      <c r="J37" s="411" t="s">
        <v>247</v>
      </c>
      <c r="K37" s="412">
        <f>+'５　きく作業時間'!AN36</f>
        <v>4595</v>
      </c>
      <c r="L37" s="412" t="s">
        <v>248</v>
      </c>
      <c r="M37" s="340" t="s">
        <v>249</v>
      </c>
      <c r="N37" s="412">
        <f>'５　きく作業時間'!AN38</f>
        <v>1019</v>
      </c>
      <c r="O37" s="412" t="s">
        <v>248</v>
      </c>
      <c r="P37" s="413"/>
    </row>
    <row r="38" spans="2:16" ht="20.25" customHeight="1" thickBot="1" x14ac:dyDescent="0.2">
      <c r="B38" s="543" t="s">
        <v>251</v>
      </c>
      <c r="C38" s="544"/>
      <c r="D38" s="544"/>
      <c r="E38" s="544"/>
      <c r="F38" s="335">
        <f>F35/K37</f>
        <v>1104.5338362430605</v>
      </c>
      <c r="G38" s="335">
        <f>G35/K37</f>
        <v>1104.5338362430605</v>
      </c>
      <c r="H38" s="344"/>
      <c r="I38" s="335"/>
      <c r="J38" s="538"/>
      <c r="K38" s="539"/>
      <c r="L38" s="539"/>
      <c r="M38" s="539"/>
      <c r="N38" s="539"/>
      <c r="O38" s="539"/>
      <c r="P38" s="540"/>
    </row>
  </sheetData>
  <mergeCells count="50">
    <mergeCell ref="B3:E4"/>
    <mergeCell ref="D7:E7"/>
    <mergeCell ref="D15:D16"/>
    <mergeCell ref="D17:D19"/>
    <mergeCell ref="D22:E22"/>
    <mergeCell ref="B5:C7"/>
    <mergeCell ref="J14:P14"/>
    <mergeCell ref="J15:P15"/>
    <mergeCell ref="J16:P16"/>
    <mergeCell ref="J17:P17"/>
    <mergeCell ref="B34:E34"/>
    <mergeCell ref="D23:D25"/>
    <mergeCell ref="D32:E32"/>
    <mergeCell ref="J18:P18"/>
    <mergeCell ref="J19:P19"/>
    <mergeCell ref="J20:P20"/>
    <mergeCell ref="J21:P21"/>
    <mergeCell ref="J22:P22"/>
    <mergeCell ref="C33:E33"/>
    <mergeCell ref="J9:P9"/>
    <mergeCell ref="J10:P10"/>
    <mergeCell ref="J11:P11"/>
    <mergeCell ref="J12:P12"/>
    <mergeCell ref="J13:P13"/>
    <mergeCell ref="J3:P4"/>
    <mergeCell ref="J5:P5"/>
    <mergeCell ref="J6:P6"/>
    <mergeCell ref="J7:P7"/>
    <mergeCell ref="J8:P8"/>
    <mergeCell ref="J38:P38"/>
    <mergeCell ref="B8:B33"/>
    <mergeCell ref="B38:E38"/>
    <mergeCell ref="J34:P34"/>
    <mergeCell ref="J35:P35"/>
    <mergeCell ref="J36:P36"/>
    <mergeCell ref="J28:P28"/>
    <mergeCell ref="J29:P29"/>
    <mergeCell ref="J30:P30"/>
    <mergeCell ref="J31:P31"/>
    <mergeCell ref="J32:P32"/>
    <mergeCell ref="J23:P23"/>
    <mergeCell ref="J24:P24"/>
    <mergeCell ref="J25:P25"/>
    <mergeCell ref="J26:P26"/>
    <mergeCell ref="J27:P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8"/>
  <sheetViews>
    <sheetView showZeros="0" zoomScale="75" zoomScaleNormal="75" zoomScaleSheetLayoutView="75" workbookViewId="0"/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431</v>
      </c>
      <c r="C2" s="2"/>
      <c r="D2" s="5"/>
      <c r="E2" s="5"/>
      <c r="F2" s="5"/>
      <c r="G2" s="5"/>
      <c r="H2" s="5"/>
      <c r="I2" s="5"/>
      <c r="J2" s="5"/>
      <c r="K2" s="5"/>
      <c r="L2" s="293" t="s">
        <v>198</v>
      </c>
      <c r="M2" s="270" t="s">
        <v>397</v>
      </c>
      <c r="N2" s="68"/>
      <c r="O2" s="293" t="s">
        <v>199</v>
      </c>
      <c r="P2" s="270" t="s">
        <v>391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202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25" customHeight="1" x14ac:dyDescent="0.15">
      <c r="B4" s="588" t="s">
        <v>99</v>
      </c>
      <c r="C4" s="589"/>
      <c r="D4" s="592">
        <v>1</v>
      </c>
      <c r="E4" s="593"/>
      <c r="F4" s="594"/>
      <c r="G4" s="592">
        <v>2</v>
      </c>
      <c r="H4" s="593"/>
      <c r="I4" s="594"/>
      <c r="J4" s="592">
        <v>3</v>
      </c>
      <c r="K4" s="593"/>
      <c r="L4" s="594"/>
      <c r="M4" s="592">
        <v>4</v>
      </c>
      <c r="N4" s="593"/>
      <c r="O4" s="594"/>
      <c r="P4" s="592">
        <v>5</v>
      </c>
      <c r="Q4" s="593"/>
      <c r="R4" s="594"/>
      <c r="S4" s="592">
        <v>6</v>
      </c>
      <c r="T4" s="593"/>
      <c r="U4" s="594"/>
      <c r="V4" s="592">
        <v>7</v>
      </c>
      <c r="W4" s="593"/>
      <c r="X4" s="594"/>
      <c r="Y4" s="592">
        <v>8</v>
      </c>
      <c r="Z4" s="593"/>
      <c r="AA4" s="594"/>
      <c r="AB4" s="592">
        <v>9</v>
      </c>
      <c r="AC4" s="593"/>
      <c r="AD4" s="594"/>
      <c r="AE4" s="592">
        <v>10</v>
      </c>
      <c r="AF4" s="593"/>
      <c r="AG4" s="594"/>
      <c r="AH4" s="592">
        <v>11</v>
      </c>
      <c r="AI4" s="593"/>
      <c r="AJ4" s="594"/>
      <c r="AK4" s="592">
        <v>12</v>
      </c>
      <c r="AL4" s="593"/>
      <c r="AM4" s="594"/>
      <c r="AN4" s="595" t="s">
        <v>30</v>
      </c>
    </row>
    <row r="5" spans="2:63" ht="20.25" customHeight="1" x14ac:dyDescent="0.15">
      <c r="B5" s="590"/>
      <c r="C5" s="591"/>
      <c r="D5" s="52" t="s">
        <v>31</v>
      </c>
      <c r="E5" s="53" t="s">
        <v>32</v>
      </c>
      <c r="F5" s="54" t="s">
        <v>33</v>
      </c>
      <c r="G5" s="52" t="s">
        <v>31</v>
      </c>
      <c r="H5" s="54" t="s">
        <v>32</v>
      </c>
      <c r="I5" s="54" t="s">
        <v>33</v>
      </c>
      <c r="J5" s="52" t="s">
        <v>31</v>
      </c>
      <c r="K5" s="54" t="s">
        <v>32</v>
      </c>
      <c r="L5" s="54" t="s">
        <v>33</v>
      </c>
      <c r="M5" s="52" t="s">
        <v>31</v>
      </c>
      <c r="N5" s="54" t="s">
        <v>32</v>
      </c>
      <c r="O5" s="54" t="s">
        <v>33</v>
      </c>
      <c r="P5" s="52" t="s">
        <v>31</v>
      </c>
      <c r="Q5" s="54" t="s">
        <v>32</v>
      </c>
      <c r="R5" s="54" t="s">
        <v>33</v>
      </c>
      <c r="S5" s="52" t="s">
        <v>31</v>
      </c>
      <c r="T5" s="55" t="s">
        <v>32</v>
      </c>
      <c r="U5" s="55" t="s">
        <v>33</v>
      </c>
      <c r="V5" s="52" t="s">
        <v>31</v>
      </c>
      <c r="W5" s="54" t="s">
        <v>32</v>
      </c>
      <c r="X5" s="54" t="s">
        <v>33</v>
      </c>
      <c r="Y5" s="52" t="s">
        <v>31</v>
      </c>
      <c r="Z5" s="54" t="s">
        <v>32</v>
      </c>
      <c r="AA5" s="54" t="s">
        <v>33</v>
      </c>
      <c r="AB5" s="52" t="s">
        <v>31</v>
      </c>
      <c r="AC5" s="54" t="s">
        <v>32</v>
      </c>
      <c r="AD5" s="54" t="s">
        <v>33</v>
      </c>
      <c r="AE5" s="52" t="s">
        <v>31</v>
      </c>
      <c r="AF5" s="54" t="s">
        <v>32</v>
      </c>
      <c r="AG5" s="54" t="s">
        <v>33</v>
      </c>
      <c r="AH5" s="52" t="s">
        <v>31</v>
      </c>
      <c r="AI5" s="54" t="s">
        <v>32</v>
      </c>
      <c r="AJ5" s="54" t="s">
        <v>33</v>
      </c>
      <c r="AK5" s="52" t="s">
        <v>31</v>
      </c>
      <c r="AL5" s="54" t="s">
        <v>32</v>
      </c>
      <c r="AM5" s="54" t="s">
        <v>33</v>
      </c>
      <c r="AN5" s="596"/>
    </row>
    <row r="6" spans="2:63" ht="20.25" customHeight="1" x14ac:dyDescent="0.15">
      <c r="B6" s="597" t="s">
        <v>100</v>
      </c>
      <c r="C6" s="598"/>
      <c r="D6" s="56"/>
      <c r="E6" s="5"/>
      <c r="F6" s="5"/>
      <c r="G6" s="5"/>
      <c r="H6" s="5"/>
      <c r="I6" s="5"/>
      <c r="J6" s="5"/>
      <c r="K6" s="5" t="s">
        <v>405</v>
      </c>
      <c r="L6" s="5"/>
      <c r="M6" s="5" t="s">
        <v>406</v>
      </c>
      <c r="N6" s="5" t="s">
        <v>407</v>
      </c>
      <c r="O6" s="32"/>
      <c r="P6" s="32"/>
      <c r="Q6" s="5"/>
      <c r="R6" s="5"/>
      <c r="S6" s="5"/>
      <c r="T6" s="5"/>
      <c r="U6" s="5"/>
      <c r="V6" s="5" t="s">
        <v>427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/>
    </row>
    <row r="7" spans="2:63" ht="20.25" customHeight="1" x14ac:dyDescent="0.15">
      <c r="B7" s="599"/>
      <c r="C7" s="600"/>
      <c r="D7" s="56"/>
      <c r="E7" s="5"/>
      <c r="F7" s="5"/>
      <c r="G7" s="5"/>
      <c r="H7" s="5"/>
      <c r="I7" s="5"/>
      <c r="J7" s="5"/>
      <c r="K7" s="5"/>
      <c r="L7" s="5"/>
      <c r="N7" s="5" t="s">
        <v>405</v>
      </c>
      <c r="O7" s="389" t="s">
        <v>406</v>
      </c>
      <c r="P7" s="5" t="s">
        <v>407</v>
      </c>
      <c r="Q7" s="5"/>
      <c r="R7" s="5"/>
      <c r="S7" s="5"/>
      <c r="T7" s="5"/>
      <c r="U7" s="5"/>
      <c r="V7" s="5"/>
      <c r="W7" s="5"/>
      <c r="X7" s="5" t="s">
        <v>426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7"/>
    </row>
    <row r="8" spans="2:63" ht="20.25" customHeight="1" x14ac:dyDescent="0.15">
      <c r="B8" s="599"/>
      <c r="C8" s="600"/>
      <c r="D8" s="56"/>
      <c r="E8" s="5"/>
      <c r="F8" s="5"/>
      <c r="G8" s="5"/>
      <c r="H8" s="5"/>
      <c r="I8" s="5"/>
      <c r="J8" s="5"/>
      <c r="K8" s="5"/>
      <c r="L8" s="5"/>
      <c r="N8" s="5"/>
      <c r="O8" s="5"/>
      <c r="P8" s="5" t="s">
        <v>408</v>
      </c>
      <c r="Q8" s="5"/>
      <c r="R8" s="5" t="s">
        <v>409</v>
      </c>
      <c r="S8" s="5"/>
      <c r="T8" s="5"/>
      <c r="U8" s="5"/>
      <c r="V8" s="5"/>
      <c r="W8" s="5"/>
      <c r="X8" s="5"/>
      <c r="Y8" s="5"/>
      <c r="Z8" s="5"/>
      <c r="AA8" s="5" t="s">
        <v>428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7"/>
    </row>
    <row r="9" spans="2:63" ht="20.25" customHeight="1" x14ac:dyDescent="0.15">
      <c r="B9" s="590"/>
      <c r="C9" s="591"/>
      <c r="D9" s="391" t="s">
        <v>410</v>
      </c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 t="s">
        <v>405</v>
      </c>
      <c r="T9" s="393" t="s">
        <v>406</v>
      </c>
      <c r="U9" s="394" t="s">
        <v>407</v>
      </c>
      <c r="V9" s="392"/>
      <c r="W9" s="392"/>
      <c r="X9" s="392"/>
      <c r="Y9" s="392"/>
      <c r="Z9" s="392"/>
      <c r="AA9" s="392"/>
      <c r="AB9" s="392"/>
      <c r="AC9" s="392"/>
      <c r="AD9" s="392"/>
      <c r="AE9" s="392" t="s">
        <v>429</v>
      </c>
      <c r="AF9" s="392"/>
      <c r="AG9" s="392"/>
      <c r="AH9" s="392"/>
      <c r="AI9" s="392"/>
      <c r="AJ9" s="392"/>
      <c r="AK9" s="392"/>
      <c r="AL9" s="392"/>
      <c r="AM9" s="392"/>
      <c r="AN9" s="58"/>
    </row>
    <row r="10" spans="2:63" ht="20.25" customHeight="1" x14ac:dyDescent="0.15">
      <c r="B10" s="601" t="s">
        <v>359</v>
      </c>
      <c r="C10" s="602"/>
      <c r="D10" s="59">
        <v>2</v>
      </c>
      <c r="E10" s="60">
        <v>3</v>
      </c>
      <c r="F10" s="60">
        <v>7</v>
      </c>
      <c r="G10" s="59">
        <v>3</v>
      </c>
      <c r="H10" s="60">
        <v>2</v>
      </c>
      <c r="I10" s="60">
        <v>2</v>
      </c>
      <c r="J10" s="59">
        <v>4</v>
      </c>
      <c r="K10" s="60">
        <v>6</v>
      </c>
      <c r="L10" s="60">
        <v>8</v>
      </c>
      <c r="M10" s="59">
        <v>16</v>
      </c>
      <c r="N10" s="60">
        <v>5</v>
      </c>
      <c r="O10" s="60">
        <v>12</v>
      </c>
      <c r="P10" s="59">
        <v>1</v>
      </c>
      <c r="Q10" s="60">
        <v>2</v>
      </c>
      <c r="R10" s="60">
        <v>7.7</v>
      </c>
      <c r="S10" s="59">
        <v>0.4</v>
      </c>
      <c r="T10" s="60"/>
      <c r="U10" s="60"/>
      <c r="V10" s="59"/>
      <c r="W10" s="60"/>
      <c r="X10" s="60"/>
      <c r="Y10" s="59"/>
      <c r="Z10" s="60"/>
      <c r="AA10" s="60">
        <v>4</v>
      </c>
      <c r="AB10" s="59"/>
      <c r="AC10" s="60"/>
      <c r="AD10" s="60">
        <v>13</v>
      </c>
      <c r="AE10" s="59">
        <v>7</v>
      </c>
      <c r="AF10" s="60"/>
      <c r="AG10" s="60">
        <v>5</v>
      </c>
      <c r="AH10" s="59">
        <v>2</v>
      </c>
      <c r="AI10" s="60">
        <v>2</v>
      </c>
      <c r="AJ10" s="60">
        <v>3</v>
      </c>
      <c r="AK10" s="59">
        <v>7</v>
      </c>
      <c r="AL10" s="60">
        <v>3</v>
      </c>
      <c r="AM10" s="60">
        <v>7</v>
      </c>
      <c r="AN10" s="61">
        <f>SUM(D10:AM10)</f>
        <v>134.10000000000002</v>
      </c>
    </row>
    <row r="11" spans="2:63" ht="20.25" customHeight="1" x14ac:dyDescent="0.15">
      <c r="B11" s="601" t="s">
        <v>360</v>
      </c>
      <c r="C11" s="602"/>
      <c r="D11" s="59"/>
      <c r="E11" s="60"/>
      <c r="F11" s="60"/>
      <c r="G11" s="59"/>
      <c r="H11" s="60"/>
      <c r="I11" s="60"/>
      <c r="J11" s="59"/>
      <c r="K11" s="60"/>
      <c r="L11" s="60">
        <v>2</v>
      </c>
      <c r="M11" s="59"/>
      <c r="N11" s="60">
        <v>3</v>
      </c>
      <c r="O11" s="60"/>
      <c r="P11" s="59">
        <v>3.8</v>
      </c>
      <c r="Q11" s="60"/>
      <c r="R11" s="60"/>
      <c r="S11" s="59">
        <v>7</v>
      </c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/>
      <c r="AE11" s="59"/>
      <c r="AF11" s="60"/>
      <c r="AG11" s="60"/>
      <c r="AH11" s="59">
        <v>13</v>
      </c>
      <c r="AI11" s="60">
        <v>3</v>
      </c>
      <c r="AJ11" s="60"/>
      <c r="AK11" s="59"/>
      <c r="AL11" s="60"/>
      <c r="AM11" s="60"/>
      <c r="AN11" s="61">
        <f t="shared" ref="AN11:AN21" si="0">SUM(D11:AM11)</f>
        <v>31.8</v>
      </c>
    </row>
    <row r="12" spans="2:63" ht="20.25" customHeight="1" x14ac:dyDescent="0.15">
      <c r="B12" s="601" t="s">
        <v>282</v>
      </c>
      <c r="C12" s="602"/>
      <c r="D12" s="59"/>
      <c r="E12" s="60"/>
      <c r="F12" s="60"/>
      <c r="G12" s="59"/>
      <c r="H12" s="60"/>
      <c r="I12" s="60"/>
      <c r="J12" s="59"/>
      <c r="K12" s="60"/>
      <c r="L12" s="60"/>
      <c r="M12" s="59">
        <v>4</v>
      </c>
      <c r="N12" s="60"/>
      <c r="O12" s="60">
        <v>9</v>
      </c>
      <c r="P12" s="59"/>
      <c r="Q12" s="60">
        <v>9</v>
      </c>
      <c r="R12" s="60"/>
      <c r="S12" s="59"/>
      <c r="T12" s="60">
        <v>5</v>
      </c>
      <c r="U12" s="60"/>
      <c r="V12" s="59"/>
      <c r="W12" s="60"/>
      <c r="X12" s="60"/>
      <c r="Y12" s="59"/>
      <c r="Z12" s="60"/>
      <c r="AA12" s="60"/>
      <c r="AB12" s="59"/>
      <c r="AC12" s="60"/>
      <c r="AD12" s="60"/>
      <c r="AE12" s="59"/>
      <c r="AF12" s="60"/>
      <c r="AG12" s="60"/>
      <c r="AH12" s="59"/>
      <c r="AI12" s="60"/>
      <c r="AJ12" s="60"/>
      <c r="AK12" s="59"/>
      <c r="AL12" s="60"/>
      <c r="AM12" s="60"/>
      <c r="AN12" s="61">
        <f t="shared" si="0"/>
        <v>27</v>
      </c>
    </row>
    <row r="13" spans="2:63" ht="20.25" customHeight="1" x14ac:dyDescent="0.15">
      <c r="B13" s="601" t="s">
        <v>361</v>
      </c>
      <c r="C13" s="602"/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>
        <v>2</v>
      </c>
      <c r="O13" s="60"/>
      <c r="P13" s="59">
        <v>4</v>
      </c>
      <c r="Q13" s="60"/>
      <c r="R13" s="60">
        <v>8</v>
      </c>
      <c r="S13" s="59">
        <v>9</v>
      </c>
      <c r="T13" s="60"/>
      <c r="U13" s="60">
        <v>10</v>
      </c>
      <c r="V13" s="59"/>
      <c r="W13" s="60"/>
      <c r="X13" s="60">
        <v>5</v>
      </c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 t="shared" si="0"/>
        <v>38</v>
      </c>
    </row>
    <row r="14" spans="2:63" ht="20.25" customHeight="1" x14ac:dyDescent="0.15">
      <c r="B14" s="601" t="s">
        <v>285</v>
      </c>
      <c r="C14" s="602"/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>
        <v>0.4</v>
      </c>
      <c r="O14" s="60">
        <v>0.4</v>
      </c>
      <c r="P14" s="59">
        <v>1</v>
      </c>
      <c r="Q14" s="60">
        <v>1</v>
      </c>
      <c r="R14" s="60">
        <v>1</v>
      </c>
      <c r="S14" s="59">
        <v>1</v>
      </c>
      <c r="T14" s="60">
        <v>2</v>
      </c>
      <c r="U14" s="60">
        <v>2</v>
      </c>
      <c r="V14" s="59">
        <v>2</v>
      </c>
      <c r="W14" s="60">
        <v>2</v>
      </c>
      <c r="X14" s="60">
        <v>2</v>
      </c>
      <c r="Y14" s="59">
        <v>1</v>
      </c>
      <c r="Z14" s="60">
        <v>1</v>
      </c>
      <c r="AA14" s="60">
        <v>1</v>
      </c>
      <c r="AB14" s="59">
        <v>1</v>
      </c>
      <c r="AC14" s="60">
        <v>0.6</v>
      </c>
      <c r="AD14" s="60">
        <v>0.6</v>
      </c>
      <c r="AE14" s="59">
        <v>0.6</v>
      </c>
      <c r="AF14" s="60"/>
      <c r="AG14" s="60"/>
      <c r="AH14" s="59"/>
      <c r="AI14" s="60"/>
      <c r="AJ14" s="60"/>
      <c r="AK14" s="59"/>
      <c r="AL14" s="60"/>
      <c r="AM14" s="60"/>
      <c r="AN14" s="61">
        <f t="shared" si="0"/>
        <v>20.600000000000005</v>
      </c>
    </row>
    <row r="15" spans="2:63" ht="20.25" customHeight="1" x14ac:dyDescent="0.15">
      <c r="B15" s="601" t="s">
        <v>382</v>
      </c>
      <c r="C15" s="602"/>
      <c r="D15" s="59"/>
      <c r="E15" s="60"/>
      <c r="F15" s="60"/>
      <c r="G15" s="59"/>
      <c r="H15" s="60"/>
      <c r="I15" s="60"/>
      <c r="J15" s="59"/>
      <c r="K15" s="60"/>
      <c r="L15" s="60"/>
      <c r="M15" s="59"/>
      <c r="N15" s="60">
        <v>3</v>
      </c>
      <c r="O15" s="60">
        <v>1</v>
      </c>
      <c r="P15" s="59"/>
      <c r="Q15" s="60"/>
      <c r="R15" s="60"/>
      <c r="S15" s="59">
        <v>3</v>
      </c>
      <c r="T15" s="60">
        <v>1</v>
      </c>
      <c r="U15" s="60"/>
      <c r="V15" s="59">
        <v>3</v>
      </c>
      <c r="W15" s="60"/>
      <c r="X15" s="60"/>
      <c r="Y15" s="59"/>
      <c r="Z15" s="60">
        <v>1.5</v>
      </c>
      <c r="AA15" s="60"/>
      <c r="AB15" s="59"/>
      <c r="AC15" s="60"/>
      <c r="AD15" s="60"/>
      <c r="AE15" s="59"/>
      <c r="AF15" s="60"/>
      <c r="AG15" s="60"/>
      <c r="AH15" s="59"/>
      <c r="AI15" s="60"/>
      <c r="AJ15" s="60"/>
      <c r="AK15" s="59"/>
      <c r="AL15" s="60"/>
      <c r="AM15" s="60"/>
      <c r="AN15" s="61">
        <f t="shared" si="0"/>
        <v>12.5</v>
      </c>
    </row>
    <row r="16" spans="2:63" ht="20.25" customHeight="1" x14ac:dyDescent="0.15">
      <c r="B16" s="601" t="s">
        <v>362</v>
      </c>
      <c r="C16" s="602"/>
      <c r="D16" s="59"/>
      <c r="E16" s="60"/>
      <c r="F16" s="60"/>
      <c r="G16" s="59"/>
      <c r="H16" s="60"/>
      <c r="I16" s="60"/>
      <c r="J16" s="59"/>
      <c r="K16" s="60"/>
      <c r="L16" s="60"/>
      <c r="M16" s="59"/>
      <c r="N16" s="60"/>
      <c r="O16" s="60"/>
      <c r="P16" s="59"/>
      <c r="Q16" s="60"/>
      <c r="R16" s="60"/>
      <c r="S16" s="59">
        <v>4</v>
      </c>
      <c r="T16" s="60">
        <v>8</v>
      </c>
      <c r="U16" s="60">
        <v>20</v>
      </c>
      <c r="V16" s="59">
        <v>18</v>
      </c>
      <c r="W16" s="60">
        <v>25</v>
      </c>
      <c r="X16" s="60"/>
      <c r="Y16" s="59">
        <v>5</v>
      </c>
      <c r="Z16" s="60">
        <v>10</v>
      </c>
      <c r="AA16" s="60">
        <v>13</v>
      </c>
      <c r="AB16" s="59">
        <v>3</v>
      </c>
      <c r="AC16" s="60">
        <v>6</v>
      </c>
      <c r="AD16" s="60">
        <v>8</v>
      </c>
      <c r="AE16" s="59"/>
      <c r="AF16" s="60"/>
      <c r="AG16" s="60"/>
      <c r="AH16" s="59"/>
      <c r="AI16" s="60"/>
      <c r="AJ16" s="60"/>
      <c r="AK16" s="59"/>
      <c r="AL16" s="60"/>
      <c r="AM16" s="60"/>
      <c r="AN16" s="61">
        <f t="shared" si="0"/>
        <v>120</v>
      </c>
    </row>
    <row r="17" spans="2:40" ht="20.25" customHeight="1" x14ac:dyDescent="0.15">
      <c r="B17" s="601" t="s">
        <v>290</v>
      </c>
      <c r="C17" s="602"/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>
        <v>8</v>
      </c>
      <c r="W17" s="60">
        <v>12</v>
      </c>
      <c r="X17" s="60">
        <v>16</v>
      </c>
      <c r="Y17" s="59">
        <v>20</v>
      </c>
      <c r="Z17" s="60">
        <v>5</v>
      </c>
      <c r="AA17" s="60">
        <v>5</v>
      </c>
      <c r="AB17" s="59">
        <v>20</v>
      </c>
      <c r="AC17" s="60">
        <v>13.7</v>
      </c>
      <c r="AD17" s="60">
        <v>4</v>
      </c>
      <c r="AE17" s="59">
        <v>12</v>
      </c>
      <c r="AF17" s="60">
        <v>8</v>
      </c>
      <c r="AG17" s="60"/>
      <c r="AH17" s="59"/>
      <c r="AI17" s="60"/>
      <c r="AJ17" s="60"/>
      <c r="AK17" s="59"/>
      <c r="AL17" s="60"/>
      <c r="AM17" s="60"/>
      <c r="AN17" s="61">
        <f t="shared" si="0"/>
        <v>123.7</v>
      </c>
    </row>
    <row r="18" spans="2:40" ht="20.25" customHeight="1" x14ac:dyDescent="0.15">
      <c r="B18" s="601" t="s">
        <v>494</v>
      </c>
      <c r="C18" s="602"/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>
        <v>11</v>
      </c>
      <c r="W18" s="60">
        <v>16</v>
      </c>
      <c r="X18" s="60">
        <v>22</v>
      </c>
      <c r="Y18" s="59">
        <v>29</v>
      </c>
      <c r="Z18" s="60">
        <v>9.6999999999999993</v>
      </c>
      <c r="AA18" s="60">
        <v>9</v>
      </c>
      <c r="AB18" s="59">
        <v>29</v>
      </c>
      <c r="AC18" s="60">
        <v>18</v>
      </c>
      <c r="AD18" s="60">
        <v>4</v>
      </c>
      <c r="AE18" s="59">
        <v>15</v>
      </c>
      <c r="AF18" s="60">
        <v>10</v>
      </c>
      <c r="AG18" s="60"/>
      <c r="AH18" s="59"/>
      <c r="AI18" s="60"/>
      <c r="AJ18" s="60"/>
      <c r="AK18" s="59"/>
      <c r="AL18" s="60"/>
      <c r="AM18" s="60"/>
      <c r="AN18" s="61">
        <f t="shared" si="0"/>
        <v>172.7</v>
      </c>
    </row>
    <row r="19" spans="2:40" ht="20.25" customHeight="1" x14ac:dyDescent="0.15">
      <c r="B19" s="601" t="s">
        <v>363</v>
      </c>
      <c r="C19" s="602"/>
      <c r="D19" s="59"/>
      <c r="E19" s="60"/>
      <c r="F19" s="60"/>
      <c r="G19" s="59"/>
      <c r="H19" s="60"/>
      <c r="I19" s="60"/>
      <c r="J19" s="59"/>
      <c r="K19" s="60"/>
      <c r="L19" s="60"/>
      <c r="M19" s="59"/>
      <c r="N19" s="60"/>
      <c r="O19" s="60"/>
      <c r="P19" s="59"/>
      <c r="Q19" s="60"/>
      <c r="R19" s="60"/>
      <c r="S19" s="59"/>
      <c r="T19" s="60"/>
      <c r="U19" s="60"/>
      <c r="V19" s="59"/>
      <c r="W19" s="60"/>
      <c r="X19" s="60"/>
      <c r="Y19" s="59"/>
      <c r="Z19" s="60"/>
      <c r="AA19" s="60">
        <v>3</v>
      </c>
      <c r="AB19" s="59"/>
      <c r="AC19" s="60"/>
      <c r="AD19" s="60"/>
      <c r="AE19" s="59">
        <v>4</v>
      </c>
      <c r="AF19" s="60"/>
      <c r="AG19" s="60"/>
      <c r="AH19" s="59"/>
      <c r="AI19" s="60">
        <v>6</v>
      </c>
      <c r="AJ19" s="60"/>
      <c r="AK19" s="59"/>
      <c r="AL19" s="60"/>
      <c r="AM19" s="60"/>
      <c r="AN19" s="61">
        <f t="shared" si="0"/>
        <v>13</v>
      </c>
    </row>
    <row r="20" spans="2:40" ht="20.25" customHeight="1" x14ac:dyDescent="0.15">
      <c r="B20" s="601" t="s">
        <v>137</v>
      </c>
      <c r="C20" s="602"/>
      <c r="D20" s="59"/>
      <c r="E20" s="60"/>
      <c r="F20" s="60"/>
      <c r="G20" s="59"/>
      <c r="H20" s="60"/>
      <c r="I20" s="60"/>
      <c r="J20" s="59"/>
      <c r="K20" s="60"/>
      <c r="L20" s="60"/>
      <c r="M20" s="59"/>
      <c r="N20" s="60"/>
      <c r="O20" s="60"/>
      <c r="P20" s="59">
        <v>0.9</v>
      </c>
      <c r="Q20" s="60">
        <v>0.9</v>
      </c>
      <c r="R20" s="60">
        <v>0.9</v>
      </c>
      <c r="S20" s="59"/>
      <c r="T20" s="60"/>
      <c r="U20" s="60"/>
      <c r="V20" s="59">
        <v>0.9</v>
      </c>
      <c r="W20" s="60">
        <v>0.9</v>
      </c>
      <c r="X20" s="60"/>
      <c r="Y20" s="59"/>
      <c r="Z20" s="60">
        <v>0.9</v>
      </c>
      <c r="AA20" s="60">
        <v>0.9</v>
      </c>
      <c r="AB20" s="59"/>
      <c r="AC20" s="60">
        <v>0.6</v>
      </c>
      <c r="AD20" s="60">
        <v>0.6</v>
      </c>
      <c r="AE20" s="59"/>
      <c r="AF20" s="60"/>
      <c r="AG20" s="60"/>
      <c r="AH20" s="59"/>
      <c r="AI20" s="60"/>
      <c r="AJ20" s="60"/>
      <c r="AK20" s="59"/>
      <c r="AL20" s="60"/>
      <c r="AM20" s="60"/>
      <c r="AN20" s="61">
        <f t="shared" si="0"/>
        <v>7.5</v>
      </c>
    </row>
    <row r="21" spans="2:40" ht="20.25" customHeight="1" x14ac:dyDescent="0.15">
      <c r="B21" s="605" t="s">
        <v>101</v>
      </c>
      <c r="C21" s="606"/>
      <c r="D21" s="59">
        <f t="shared" ref="D21:AM21" si="1">SUM(D10:D20)</f>
        <v>2</v>
      </c>
      <c r="E21" s="62">
        <f t="shared" si="1"/>
        <v>3</v>
      </c>
      <c r="F21" s="63">
        <f t="shared" si="1"/>
        <v>7</v>
      </c>
      <c r="G21" s="59">
        <f t="shared" si="1"/>
        <v>3</v>
      </c>
      <c r="H21" s="62">
        <f t="shared" si="1"/>
        <v>2</v>
      </c>
      <c r="I21" s="63">
        <f t="shared" si="1"/>
        <v>2</v>
      </c>
      <c r="J21" s="59">
        <f t="shared" si="1"/>
        <v>4</v>
      </c>
      <c r="K21" s="62">
        <f t="shared" si="1"/>
        <v>6</v>
      </c>
      <c r="L21" s="63">
        <f t="shared" si="1"/>
        <v>10</v>
      </c>
      <c r="M21" s="59">
        <f t="shared" si="1"/>
        <v>20</v>
      </c>
      <c r="N21" s="62">
        <f t="shared" si="1"/>
        <v>13.4</v>
      </c>
      <c r="O21" s="63">
        <f t="shared" si="1"/>
        <v>22.4</v>
      </c>
      <c r="P21" s="59">
        <f t="shared" si="1"/>
        <v>10.700000000000001</v>
      </c>
      <c r="Q21" s="62">
        <f t="shared" si="1"/>
        <v>12.9</v>
      </c>
      <c r="R21" s="63">
        <f t="shared" si="1"/>
        <v>17.599999999999998</v>
      </c>
      <c r="S21" s="59">
        <f t="shared" si="1"/>
        <v>24.4</v>
      </c>
      <c r="T21" s="62">
        <f t="shared" si="1"/>
        <v>16</v>
      </c>
      <c r="U21" s="63">
        <f t="shared" si="1"/>
        <v>32</v>
      </c>
      <c r="V21" s="59">
        <f t="shared" si="1"/>
        <v>42.9</v>
      </c>
      <c r="W21" s="62">
        <f t="shared" si="1"/>
        <v>55.9</v>
      </c>
      <c r="X21" s="63">
        <f t="shared" si="1"/>
        <v>45</v>
      </c>
      <c r="Y21" s="59">
        <f t="shared" si="1"/>
        <v>55</v>
      </c>
      <c r="Z21" s="62">
        <f t="shared" si="1"/>
        <v>28.099999999999998</v>
      </c>
      <c r="AA21" s="63">
        <f t="shared" si="1"/>
        <v>35.9</v>
      </c>
      <c r="AB21" s="59">
        <f t="shared" si="1"/>
        <v>53</v>
      </c>
      <c r="AC21" s="62">
        <f t="shared" si="1"/>
        <v>38.9</v>
      </c>
      <c r="AD21" s="63">
        <f t="shared" si="1"/>
        <v>30.200000000000003</v>
      </c>
      <c r="AE21" s="59">
        <f t="shared" si="1"/>
        <v>38.6</v>
      </c>
      <c r="AF21" s="62">
        <f t="shared" si="1"/>
        <v>18</v>
      </c>
      <c r="AG21" s="63">
        <f t="shared" si="1"/>
        <v>5</v>
      </c>
      <c r="AH21" s="59">
        <f t="shared" si="1"/>
        <v>15</v>
      </c>
      <c r="AI21" s="62">
        <f t="shared" si="1"/>
        <v>11</v>
      </c>
      <c r="AJ21" s="63">
        <f t="shared" si="1"/>
        <v>3</v>
      </c>
      <c r="AK21" s="59">
        <f t="shared" si="1"/>
        <v>7</v>
      </c>
      <c r="AL21" s="62">
        <f t="shared" si="1"/>
        <v>3</v>
      </c>
      <c r="AM21" s="63">
        <f t="shared" si="1"/>
        <v>7</v>
      </c>
      <c r="AN21" s="61">
        <f t="shared" si="0"/>
        <v>700.90000000000009</v>
      </c>
    </row>
    <row r="22" spans="2:40" ht="20.25" customHeight="1" thickBot="1" x14ac:dyDescent="0.2">
      <c r="B22" s="603" t="s">
        <v>102</v>
      </c>
      <c r="C22" s="604"/>
      <c r="D22" s="64"/>
      <c r="E22" s="65">
        <f>SUM(D21:F21)</f>
        <v>12</v>
      </c>
      <c r="F22" s="65"/>
      <c r="G22" s="64"/>
      <c r="H22" s="65">
        <f>SUM(G21:I21)</f>
        <v>7</v>
      </c>
      <c r="I22" s="65"/>
      <c r="J22" s="64"/>
      <c r="K22" s="65">
        <f>SUM(J21:L21)</f>
        <v>20</v>
      </c>
      <c r="L22" s="65"/>
      <c r="M22" s="64"/>
      <c r="N22" s="65">
        <f>SUM(M21:O21)</f>
        <v>55.8</v>
      </c>
      <c r="O22" s="65"/>
      <c r="P22" s="64"/>
      <c r="Q22" s="65">
        <f>SUM(P21:R21)</f>
        <v>41.2</v>
      </c>
      <c r="R22" s="65"/>
      <c r="S22" s="64"/>
      <c r="T22" s="65">
        <f>SUM(S21:U21)</f>
        <v>72.400000000000006</v>
      </c>
      <c r="U22" s="65"/>
      <c r="V22" s="64"/>
      <c r="W22" s="65">
        <f>SUM(V21:X21)</f>
        <v>143.80000000000001</v>
      </c>
      <c r="X22" s="65"/>
      <c r="Y22" s="64"/>
      <c r="Z22" s="65">
        <f>SUM(Y21:AA21)</f>
        <v>119</v>
      </c>
      <c r="AA22" s="65"/>
      <c r="AB22" s="64"/>
      <c r="AC22" s="65">
        <f>SUM(AB21:AD21)</f>
        <v>122.10000000000001</v>
      </c>
      <c r="AD22" s="65"/>
      <c r="AE22" s="64"/>
      <c r="AF22" s="65">
        <f>SUM(AE21:AG21)</f>
        <v>61.6</v>
      </c>
      <c r="AG22" s="65"/>
      <c r="AH22" s="64"/>
      <c r="AI22" s="65">
        <f>SUM(AH21:AJ21)</f>
        <v>29</v>
      </c>
      <c r="AJ22" s="65"/>
      <c r="AK22" s="64"/>
      <c r="AL22" s="65">
        <f>SUM(AK21:AM21)</f>
        <v>17</v>
      </c>
      <c r="AM22" s="65"/>
      <c r="AN22" s="66">
        <f>SUM(AN10:AN20)</f>
        <v>700.9</v>
      </c>
    </row>
    <row r="23" spans="2:40" ht="9.9499999999999993" customHeight="1" x14ac:dyDescent="0.15"/>
    <row r="24" spans="2:40" ht="24.95" customHeight="1" x14ac:dyDescent="0.15">
      <c r="B24" s="2" t="s">
        <v>203</v>
      </c>
    </row>
    <row r="25" spans="2:40" ht="9.9499999999999993" customHeight="1" thickBot="1" x14ac:dyDescent="0.2"/>
    <row r="26" spans="2:40" ht="20.25" customHeight="1" thickBot="1" x14ac:dyDescent="0.2">
      <c r="B26" s="1" t="s">
        <v>200</v>
      </c>
      <c r="C26" s="274">
        <v>80</v>
      </c>
      <c r="D26" s="1" t="s">
        <v>201</v>
      </c>
    </row>
    <row r="27" spans="2:40" ht="9.9499999999999993" customHeight="1" thickBot="1" x14ac:dyDescent="0.2"/>
    <row r="28" spans="2:40" ht="20.25" customHeight="1" x14ac:dyDescent="0.15">
      <c r="B28" s="588" t="s">
        <v>99</v>
      </c>
      <c r="C28" s="589"/>
      <c r="D28" s="592">
        <v>1</v>
      </c>
      <c r="E28" s="593"/>
      <c r="F28" s="594"/>
      <c r="G28" s="592">
        <v>2</v>
      </c>
      <c r="H28" s="593"/>
      <c r="I28" s="594"/>
      <c r="J28" s="592">
        <v>3</v>
      </c>
      <c r="K28" s="593"/>
      <c r="L28" s="594"/>
      <c r="M28" s="592">
        <v>4</v>
      </c>
      <c r="N28" s="593"/>
      <c r="O28" s="594"/>
      <c r="P28" s="592">
        <v>5</v>
      </c>
      <c r="Q28" s="593"/>
      <c r="R28" s="594"/>
      <c r="S28" s="592">
        <v>6</v>
      </c>
      <c r="T28" s="593"/>
      <c r="U28" s="594"/>
      <c r="V28" s="592">
        <v>7</v>
      </c>
      <c r="W28" s="593"/>
      <c r="X28" s="594"/>
      <c r="Y28" s="592">
        <v>8</v>
      </c>
      <c r="Z28" s="593"/>
      <c r="AA28" s="594"/>
      <c r="AB28" s="592">
        <v>9</v>
      </c>
      <c r="AC28" s="593"/>
      <c r="AD28" s="594"/>
      <c r="AE28" s="592">
        <v>10</v>
      </c>
      <c r="AF28" s="593"/>
      <c r="AG28" s="594"/>
      <c r="AH28" s="592">
        <v>11</v>
      </c>
      <c r="AI28" s="593"/>
      <c r="AJ28" s="594"/>
      <c r="AK28" s="592">
        <v>12</v>
      </c>
      <c r="AL28" s="593"/>
      <c r="AM28" s="594"/>
      <c r="AN28" s="595" t="s">
        <v>30</v>
      </c>
    </row>
    <row r="29" spans="2:40" ht="20.25" customHeight="1" x14ac:dyDescent="0.15">
      <c r="B29" s="590"/>
      <c r="C29" s="591"/>
      <c r="D29" s="52" t="s">
        <v>31</v>
      </c>
      <c r="E29" s="53" t="s">
        <v>32</v>
      </c>
      <c r="F29" s="54" t="s">
        <v>33</v>
      </c>
      <c r="G29" s="52" t="s">
        <v>31</v>
      </c>
      <c r="H29" s="54" t="s">
        <v>32</v>
      </c>
      <c r="I29" s="54" t="s">
        <v>33</v>
      </c>
      <c r="J29" s="52" t="s">
        <v>31</v>
      </c>
      <c r="K29" s="54" t="s">
        <v>32</v>
      </c>
      <c r="L29" s="54" t="s">
        <v>33</v>
      </c>
      <c r="M29" s="52" t="s">
        <v>31</v>
      </c>
      <c r="N29" s="54" t="s">
        <v>32</v>
      </c>
      <c r="O29" s="54" t="s">
        <v>33</v>
      </c>
      <c r="P29" s="52" t="s">
        <v>31</v>
      </c>
      <c r="Q29" s="54" t="s">
        <v>32</v>
      </c>
      <c r="R29" s="54" t="s">
        <v>33</v>
      </c>
      <c r="S29" s="52" t="s">
        <v>31</v>
      </c>
      <c r="T29" s="55" t="s">
        <v>32</v>
      </c>
      <c r="U29" s="55" t="s">
        <v>33</v>
      </c>
      <c r="V29" s="52" t="s">
        <v>31</v>
      </c>
      <c r="W29" s="54" t="s">
        <v>32</v>
      </c>
      <c r="X29" s="54" t="s">
        <v>33</v>
      </c>
      <c r="Y29" s="52" t="s">
        <v>31</v>
      </c>
      <c r="Z29" s="54" t="s">
        <v>32</v>
      </c>
      <c r="AA29" s="54" t="s">
        <v>33</v>
      </c>
      <c r="AB29" s="52" t="s">
        <v>31</v>
      </c>
      <c r="AC29" s="54" t="s">
        <v>32</v>
      </c>
      <c r="AD29" s="54" t="s">
        <v>33</v>
      </c>
      <c r="AE29" s="52" t="s">
        <v>31</v>
      </c>
      <c r="AF29" s="54" t="s">
        <v>32</v>
      </c>
      <c r="AG29" s="54" t="s">
        <v>33</v>
      </c>
      <c r="AH29" s="52" t="s">
        <v>31</v>
      </c>
      <c r="AI29" s="54" t="s">
        <v>32</v>
      </c>
      <c r="AJ29" s="54" t="s">
        <v>33</v>
      </c>
      <c r="AK29" s="52" t="s">
        <v>31</v>
      </c>
      <c r="AL29" s="54" t="s">
        <v>32</v>
      </c>
      <c r="AM29" s="54" t="s">
        <v>33</v>
      </c>
      <c r="AN29" s="596"/>
    </row>
    <row r="30" spans="2:40" ht="20.25" customHeight="1" x14ac:dyDescent="0.15">
      <c r="B30" s="611" t="s">
        <v>208</v>
      </c>
      <c r="C30" s="591"/>
      <c r="D30" s="59">
        <f>D21*$C$26/10</f>
        <v>16</v>
      </c>
      <c r="E30" s="62">
        <f t="shared" ref="E30:AM30" si="2">E21*$C$26/10</f>
        <v>24</v>
      </c>
      <c r="F30" s="63">
        <f t="shared" si="2"/>
        <v>56</v>
      </c>
      <c r="G30" s="59">
        <f t="shared" si="2"/>
        <v>24</v>
      </c>
      <c r="H30" s="62">
        <f t="shared" si="2"/>
        <v>16</v>
      </c>
      <c r="I30" s="63">
        <f t="shared" si="2"/>
        <v>16</v>
      </c>
      <c r="J30" s="59">
        <f t="shared" si="2"/>
        <v>32</v>
      </c>
      <c r="K30" s="62">
        <f t="shared" si="2"/>
        <v>48</v>
      </c>
      <c r="L30" s="63">
        <f t="shared" si="2"/>
        <v>80</v>
      </c>
      <c r="M30" s="59">
        <f t="shared" si="2"/>
        <v>160</v>
      </c>
      <c r="N30" s="62">
        <f t="shared" si="2"/>
        <v>107.2</v>
      </c>
      <c r="O30" s="63">
        <f t="shared" si="2"/>
        <v>179.2</v>
      </c>
      <c r="P30" s="59">
        <f t="shared" si="2"/>
        <v>85.600000000000009</v>
      </c>
      <c r="Q30" s="62">
        <f t="shared" si="2"/>
        <v>103.2</v>
      </c>
      <c r="R30" s="63">
        <f t="shared" si="2"/>
        <v>140.79999999999998</v>
      </c>
      <c r="S30" s="59">
        <f t="shared" si="2"/>
        <v>195.2</v>
      </c>
      <c r="T30" s="62">
        <f t="shared" si="2"/>
        <v>128</v>
      </c>
      <c r="U30" s="63">
        <f t="shared" si="2"/>
        <v>256</v>
      </c>
      <c r="V30" s="59">
        <f t="shared" si="2"/>
        <v>343.2</v>
      </c>
      <c r="W30" s="62">
        <f t="shared" si="2"/>
        <v>447.2</v>
      </c>
      <c r="X30" s="63">
        <f t="shared" si="2"/>
        <v>360</v>
      </c>
      <c r="Y30" s="59">
        <f t="shared" si="2"/>
        <v>440</v>
      </c>
      <c r="Z30" s="62">
        <f t="shared" si="2"/>
        <v>224.8</v>
      </c>
      <c r="AA30" s="63">
        <f t="shared" si="2"/>
        <v>287.2</v>
      </c>
      <c r="AB30" s="59">
        <f t="shared" si="2"/>
        <v>424</v>
      </c>
      <c r="AC30" s="62">
        <f t="shared" si="2"/>
        <v>311.2</v>
      </c>
      <c r="AD30" s="63">
        <f t="shared" si="2"/>
        <v>241.6</v>
      </c>
      <c r="AE30" s="59">
        <f t="shared" si="2"/>
        <v>308.8</v>
      </c>
      <c r="AF30" s="62">
        <f t="shared" si="2"/>
        <v>144</v>
      </c>
      <c r="AG30" s="63">
        <f t="shared" si="2"/>
        <v>40</v>
      </c>
      <c r="AH30" s="59">
        <f t="shared" si="2"/>
        <v>120</v>
      </c>
      <c r="AI30" s="62">
        <f t="shared" si="2"/>
        <v>88</v>
      </c>
      <c r="AJ30" s="63">
        <f t="shared" si="2"/>
        <v>24</v>
      </c>
      <c r="AK30" s="59">
        <f t="shared" si="2"/>
        <v>56</v>
      </c>
      <c r="AL30" s="62">
        <f t="shared" si="2"/>
        <v>24</v>
      </c>
      <c r="AM30" s="63">
        <f t="shared" si="2"/>
        <v>56</v>
      </c>
      <c r="AN30" s="61">
        <f>SUM(D30:AM30)</f>
        <v>5607.2000000000007</v>
      </c>
    </row>
    <row r="31" spans="2:40" ht="20.25" customHeight="1" thickBot="1" x14ac:dyDescent="0.2">
      <c r="B31" s="597" t="s">
        <v>102</v>
      </c>
      <c r="C31" s="598"/>
      <c r="D31" s="277"/>
      <c r="E31" s="273">
        <f>SUM(D30:F30)</f>
        <v>96</v>
      </c>
      <c r="F31" s="273"/>
      <c r="G31" s="277"/>
      <c r="H31" s="273">
        <f>SUM(G30:I30)</f>
        <v>56</v>
      </c>
      <c r="I31" s="273"/>
      <c r="J31" s="277"/>
      <c r="K31" s="273">
        <f>SUM(J30:L30)</f>
        <v>160</v>
      </c>
      <c r="L31" s="273"/>
      <c r="M31" s="277"/>
      <c r="N31" s="273">
        <f>SUM(M30:O30)</f>
        <v>446.4</v>
      </c>
      <c r="O31" s="273"/>
      <c r="P31" s="277"/>
      <c r="Q31" s="273">
        <f>SUM(P30:R30)</f>
        <v>329.6</v>
      </c>
      <c r="R31" s="273"/>
      <c r="S31" s="277"/>
      <c r="T31" s="273">
        <f>SUM(S30:U30)</f>
        <v>579.20000000000005</v>
      </c>
      <c r="U31" s="273"/>
      <c r="V31" s="277"/>
      <c r="W31" s="273">
        <f>SUM(V30:X30)</f>
        <v>1150.4000000000001</v>
      </c>
      <c r="X31" s="273"/>
      <c r="Y31" s="277"/>
      <c r="Z31" s="273">
        <f>SUM(Y30:AA30)</f>
        <v>952</v>
      </c>
      <c r="AA31" s="273"/>
      <c r="AB31" s="277"/>
      <c r="AC31" s="273">
        <f>SUM(AB30:AD30)</f>
        <v>976.80000000000007</v>
      </c>
      <c r="AD31" s="273"/>
      <c r="AE31" s="277"/>
      <c r="AF31" s="273">
        <f>SUM(AE30:AG30)</f>
        <v>492.8</v>
      </c>
      <c r="AG31" s="273"/>
      <c r="AH31" s="277"/>
      <c r="AI31" s="273">
        <f>SUM(AH30:AJ30)</f>
        <v>232</v>
      </c>
      <c r="AJ31" s="273"/>
      <c r="AK31" s="277"/>
      <c r="AL31" s="273">
        <f>SUM(AK30:AM30)</f>
        <v>136</v>
      </c>
      <c r="AM31" s="273"/>
      <c r="AN31" s="278">
        <f>SUM(D31:AM31)</f>
        <v>5607.2000000000007</v>
      </c>
    </row>
    <row r="32" spans="2:40" ht="20.25" customHeight="1" thickTop="1" x14ac:dyDescent="0.15">
      <c r="B32" s="612" t="s">
        <v>206</v>
      </c>
      <c r="C32" s="279" t="s">
        <v>204</v>
      </c>
      <c r="D32" s="280">
        <v>8</v>
      </c>
      <c r="E32" s="281">
        <v>14</v>
      </c>
      <c r="F32" s="281">
        <v>28</v>
      </c>
      <c r="G32" s="280">
        <v>14</v>
      </c>
      <c r="H32" s="281">
        <v>8</v>
      </c>
      <c r="I32" s="281">
        <v>8</v>
      </c>
      <c r="J32" s="280">
        <v>17.399999999999999</v>
      </c>
      <c r="K32" s="281">
        <v>26</v>
      </c>
      <c r="L32" s="281">
        <v>48.4</v>
      </c>
      <c r="M32" s="280">
        <v>85.2</v>
      </c>
      <c r="N32" s="281">
        <v>60</v>
      </c>
      <c r="O32" s="281">
        <v>84.8</v>
      </c>
      <c r="P32" s="280">
        <v>43.2</v>
      </c>
      <c r="Q32" s="281">
        <v>54.4</v>
      </c>
      <c r="R32" s="281">
        <v>78.8</v>
      </c>
      <c r="S32" s="280">
        <v>75</v>
      </c>
      <c r="T32" s="281">
        <v>70</v>
      </c>
      <c r="U32" s="281">
        <v>84</v>
      </c>
      <c r="V32" s="280">
        <v>60</v>
      </c>
      <c r="W32" s="281">
        <v>100</v>
      </c>
      <c r="X32" s="281">
        <v>70</v>
      </c>
      <c r="Y32" s="280">
        <v>100</v>
      </c>
      <c r="Z32" s="281">
        <v>60</v>
      </c>
      <c r="AA32" s="281">
        <v>70</v>
      </c>
      <c r="AB32" s="280">
        <v>100</v>
      </c>
      <c r="AC32" s="281">
        <v>80</v>
      </c>
      <c r="AD32" s="281">
        <v>49</v>
      </c>
      <c r="AE32" s="280">
        <v>110</v>
      </c>
      <c r="AF32" s="281">
        <v>80</v>
      </c>
      <c r="AG32" s="281">
        <v>33.799999999999997</v>
      </c>
      <c r="AH32" s="280">
        <v>80</v>
      </c>
      <c r="AI32" s="281">
        <v>88</v>
      </c>
      <c r="AJ32" s="281">
        <v>24</v>
      </c>
      <c r="AK32" s="280">
        <v>34</v>
      </c>
      <c r="AL32" s="281">
        <v>14</v>
      </c>
      <c r="AM32" s="281">
        <v>34</v>
      </c>
      <c r="AN32" s="282">
        <f t="shared" ref="AN32:AN34" si="3">SUM(D32:AM32)</f>
        <v>1993.9999999999998</v>
      </c>
    </row>
    <row r="33" spans="2:40" ht="20.25" customHeight="1" x14ac:dyDescent="0.15">
      <c r="B33" s="613"/>
      <c r="C33" s="275" t="s">
        <v>205</v>
      </c>
      <c r="D33" s="283">
        <v>8</v>
      </c>
      <c r="E33" s="60">
        <v>10</v>
      </c>
      <c r="F33" s="60">
        <v>28</v>
      </c>
      <c r="G33" s="283">
        <v>10</v>
      </c>
      <c r="H33" s="60">
        <v>8</v>
      </c>
      <c r="I33" s="60">
        <v>8</v>
      </c>
      <c r="J33" s="283">
        <v>14.6</v>
      </c>
      <c r="K33" s="60">
        <v>22</v>
      </c>
      <c r="L33" s="60">
        <v>31.6</v>
      </c>
      <c r="M33" s="283">
        <v>74.8</v>
      </c>
      <c r="N33" s="60">
        <v>47.2</v>
      </c>
      <c r="O33" s="60">
        <v>94.4</v>
      </c>
      <c r="P33" s="283">
        <v>42.4</v>
      </c>
      <c r="Q33" s="60">
        <v>48.8</v>
      </c>
      <c r="R33" s="60">
        <v>62</v>
      </c>
      <c r="S33" s="283">
        <v>75</v>
      </c>
      <c r="T33" s="60">
        <v>58</v>
      </c>
      <c r="U33" s="60">
        <v>84</v>
      </c>
      <c r="V33" s="283">
        <v>60</v>
      </c>
      <c r="W33" s="60">
        <v>100</v>
      </c>
      <c r="X33" s="60">
        <v>70</v>
      </c>
      <c r="Y33" s="283">
        <v>100</v>
      </c>
      <c r="Z33" s="60">
        <v>60</v>
      </c>
      <c r="AA33" s="60">
        <v>70</v>
      </c>
      <c r="AB33" s="283">
        <v>100</v>
      </c>
      <c r="AC33" s="60">
        <v>80</v>
      </c>
      <c r="AD33" s="60">
        <v>49</v>
      </c>
      <c r="AE33" s="283">
        <v>110</v>
      </c>
      <c r="AF33" s="60">
        <v>64</v>
      </c>
      <c r="AG33" s="60">
        <v>6.2</v>
      </c>
      <c r="AH33" s="283">
        <v>40</v>
      </c>
      <c r="AI33" s="60"/>
      <c r="AJ33" s="60"/>
      <c r="AK33" s="283">
        <v>22</v>
      </c>
      <c r="AL33" s="60">
        <v>10</v>
      </c>
      <c r="AM33" s="60">
        <v>22</v>
      </c>
      <c r="AN33" s="61">
        <f t="shared" si="3"/>
        <v>1690</v>
      </c>
    </row>
    <row r="34" spans="2:40" ht="20.25" customHeight="1" x14ac:dyDescent="0.15">
      <c r="B34" s="613"/>
      <c r="C34" s="275" t="s">
        <v>211</v>
      </c>
      <c r="D34" s="283"/>
      <c r="E34" s="60"/>
      <c r="F34" s="60"/>
      <c r="G34" s="283"/>
      <c r="H34" s="60"/>
      <c r="I34" s="60"/>
      <c r="J34" s="283"/>
      <c r="K34" s="60"/>
      <c r="L34" s="60"/>
      <c r="M34" s="283"/>
      <c r="N34" s="60"/>
      <c r="O34" s="60"/>
      <c r="P34" s="283"/>
      <c r="Q34" s="60"/>
      <c r="R34" s="60"/>
      <c r="S34" s="283">
        <v>45.2</v>
      </c>
      <c r="T34" s="60"/>
      <c r="U34" s="60">
        <v>88</v>
      </c>
      <c r="V34" s="283">
        <v>60</v>
      </c>
      <c r="W34" s="60">
        <v>100</v>
      </c>
      <c r="X34" s="60">
        <v>70</v>
      </c>
      <c r="Y34" s="283">
        <v>100</v>
      </c>
      <c r="Z34" s="60">
        <v>60</v>
      </c>
      <c r="AA34" s="60">
        <v>69</v>
      </c>
      <c r="AB34" s="283">
        <v>100</v>
      </c>
      <c r="AC34" s="60">
        <v>70</v>
      </c>
      <c r="AD34" s="60">
        <v>60</v>
      </c>
      <c r="AE34" s="283">
        <v>88.8</v>
      </c>
      <c r="AF34" s="60"/>
      <c r="AG34" s="60"/>
      <c r="AH34" s="283"/>
      <c r="AI34" s="60"/>
      <c r="AJ34" s="60"/>
      <c r="AK34" s="283"/>
      <c r="AL34" s="60"/>
      <c r="AM34" s="60"/>
      <c r="AN34" s="61">
        <f t="shared" si="3"/>
        <v>911</v>
      </c>
    </row>
    <row r="35" spans="2:40" ht="20.25" customHeight="1" x14ac:dyDescent="0.15">
      <c r="B35" s="613"/>
      <c r="C35" s="276"/>
      <c r="D35" s="283"/>
      <c r="E35" s="60"/>
      <c r="F35" s="60"/>
      <c r="G35" s="283"/>
      <c r="H35" s="60"/>
      <c r="I35" s="60"/>
      <c r="J35" s="283"/>
      <c r="K35" s="60"/>
      <c r="L35" s="60"/>
      <c r="M35" s="283"/>
      <c r="N35" s="60"/>
      <c r="O35" s="60"/>
      <c r="P35" s="283"/>
      <c r="Q35" s="60"/>
      <c r="R35" s="60"/>
      <c r="S35" s="283"/>
      <c r="T35" s="60"/>
      <c r="U35" s="60"/>
      <c r="V35" s="283"/>
      <c r="W35" s="60"/>
      <c r="X35" s="60"/>
      <c r="Y35" s="283"/>
      <c r="Z35" s="60"/>
      <c r="AA35" s="60"/>
      <c r="AB35" s="283"/>
      <c r="AC35" s="60"/>
      <c r="AD35" s="60"/>
      <c r="AE35" s="283"/>
      <c r="AF35" s="60"/>
      <c r="AG35" s="60"/>
      <c r="AH35" s="283"/>
      <c r="AI35" s="60"/>
      <c r="AJ35" s="60"/>
      <c r="AK35" s="283"/>
      <c r="AL35" s="60"/>
      <c r="AM35" s="60"/>
      <c r="AN35" s="61">
        <f t="shared" ref="AN35:AN38" si="4">SUM(D35:AM35)</f>
        <v>0</v>
      </c>
    </row>
    <row r="36" spans="2:40" ht="20.25" customHeight="1" thickBot="1" x14ac:dyDescent="0.2">
      <c r="B36" s="614"/>
      <c r="C36" s="290" t="s">
        <v>209</v>
      </c>
      <c r="D36" s="284">
        <f>SUM(D32:D35)</f>
        <v>16</v>
      </c>
      <c r="E36" s="285">
        <f t="shared" ref="E36:AM36" si="5">SUM(E32:E35)</f>
        <v>24</v>
      </c>
      <c r="F36" s="285">
        <f t="shared" si="5"/>
        <v>56</v>
      </c>
      <c r="G36" s="284">
        <f t="shared" si="5"/>
        <v>24</v>
      </c>
      <c r="H36" s="285">
        <f t="shared" si="5"/>
        <v>16</v>
      </c>
      <c r="I36" s="285">
        <f t="shared" si="5"/>
        <v>16</v>
      </c>
      <c r="J36" s="284">
        <f t="shared" si="5"/>
        <v>32</v>
      </c>
      <c r="K36" s="285">
        <f t="shared" si="5"/>
        <v>48</v>
      </c>
      <c r="L36" s="285">
        <f t="shared" si="5"/>
        <v>80</v>
      </c>
      <c r="M36" s="284">
        <f t="shared" si="5"/>
        <v>160</v>
      </c>
      <c r="N36" s="285">
        <f t="shared" si="5"/>
        <v>107.2</v>
      </c>
      <c r="O36" s="285">
        <f t="shared" si="5"/>
        <v>179.2</v>
      </c>
      <c r="P36" s="284">
        <f t="shared" si="5"/>
        <v>85.6</v>
      </c>
      <c r="Q36" s="285">
        <f t="shared" si="5"/>
        <v>103.19999999999999</v>
      </c>
      <c r="R36" s="285">
        <f t="shared" si="5"/>
        <v>140.80000000000001</v>
      </c>
      <c r="S36" s="284">
        <f t="shared" si="5"/>
        <v>195.2</v>
      </c>
      <c r="T36" s="285">
        <f t="shared" si="5"/>
        <v>128</v>
      </c>
      <c r="U36" s="285">
        <f t="shared" si="5"/>
        <v>256</v>
      </c>
      <c r="V36" s="284">
        <f t="shared" si="5"/>
        <v>180</v>
      </c>
      <c r="W36" s="285">
        <f t="shared" si="5"/>
        <v>300</v>
      </c>
      <c r="X36" s="285">
        <f t="shared" si="5"/>
        <v>210</v>
      </c>
      <c r="Y36" s="284">
        <f t="shared" si="5"/>
        <v>300</v>
      </c>
      <c r="Z36" s="285">
        <f t="shared" si="5"/>
        <v>180</v>
      </c>
      <c r="AA36" s="285">
        <f t="shared" si="5"/>
        <v>209</v>
      </c>
      <c r="AB36" s="284">
        <f t="shared" si="5"/>
        <v>300</v>
      </c>
      <c r="AC36" s="285">
        <f t="shared" si="5"/>
        <v>230</v>
      </c>
      <c r="AD36" s="285">
        <f t="shared" si="5"/>
        <v>158</v>
      </c>
      <c r="AE36" s="284">
        <f t="shared" si="5"/>
        <v>308.8</v>
      </c>
      <c r="AF36" s="285">
        <f t="shared" si="5"/>
        <v>144</v>
      </c>
      <c r="AG36" s="285">
        <f t="shared" si="5"/>
        <v>40</v>
      </c>
      <c r="AH36" s="284">
        <f t="shared" si="5"/>
        <v>120</v>
      </c>
      <c r="AI36" s="285">
        <f t="shared" si="5"/>
        <v>88</v>
      </c>
      <c r="AJ36" s="285">
        <f t="shared" si="5"/>
        <v>24</v>
      </c>
      <c r="AK36" s="284">
        <f t="shared" si="5"/>
        <v>56</v>
      </c>
      <c r="AL36" s="285">
        <f t="shared" si="5"/>
        <v>24</v>
      </c>
      <c r="AM36" s="285">
        <f t="shared" si="5"/>
        <v>56</v>
      </c>
      <c r="AN36" s="286">
        <f>SUM(D36:AM36)</f>
        <v>4595</v>
      </c>
    </row>
    <row r="37" spans="2:40" ht="20.25" customHeight="1" thickTop="1" x14ac:dyDescent="0.15">
      <c r="B37" s="607" t="s">
        <v>210</v>
      </c>
      <c r="C37" s="608"/>
      <c r="D37" s="291">
        <f>D36-D30</f>
        <v>0</v>
      </c>
      <c r="E37" s="292">
        <f t="shared" ref="E37:AM37" si="6">E36-E30</f>
        <v>0</v>
      </c>
      <c r="F37" s="292">
        <f t="shared" si="6"/>
        <v>0</v>
      </c>
      <c r="G37" s="291">
        <f t="shared" si="6"/>
        <v>0</v>
      </c>
      <c r="H37" s="292">
        <f t="shared" si="6"/>
        <v>0</v>
      </c>
      <c r="I37" s="292">
        <f t="shared" si="6"/>
        <v>0</v>
      </c>
      <c r="J37" s="291">
        <f t="shared" si="6"/>
        <v>0</v>
      </c>
      <c r="K37" s="292">
        <f t="shared" si="6"/>
        <v>0</v>
      </c>
      <c r="L37" s="292">
        <f t="shared" si="6"/>
        <v>0</v>
      </c>
      <c r="M37" s="291">
        <f t="shared" si="6"/>
        <v>0</v>
      </c>
      <c r="N37" s="292">
        <f t="shared" si="6"/>
        <v>0</v>
      </c>
      <c r="O37" s="292">
        <f t="shared" si="6"/>
        <v>0</v>
      </c>
      <c r="P37" s="291">
        <f t="shared" si="6"/>
        <v>0</v>
      </c>
      <c r="Q37" s="292">
        <f t="shared" si="6"/>
        <v>0</v>
      </c>
      <c r="R37" s="292">
        <f t="shared" si="6"/>
        <v>0</v>
      </c>
      <c r="S37" s="291">
        <f t="shared" si="6"/>
        <v>0</v>
      </c>
      <c r="T37" s="292">
        <f t="shared" si="6"/>
        <v>0</v>
      </c>
      <c r="U37" s="408">
        <f t="shared" si="6"/>
        <v>0</v>
      </c>
      <c r="V37" s="409">
        <f t="shared" si="6"/>
        <v>-163.19999999999999</v>
      </c>
      <c r="W37" s="408">
        <f t="shared" si="6"/>
        <v>-147.19999999999999</v>
      </c>
      <c r="X37" s="408">
        <f t="shared" si="6"/>
        <v>-150</v>
      </c>
      <c r="Y37" s="409">
        <f t="shared" si="6"/>
        <v>-140</v>
      </c>
      <c r="Z37" s="408">
        <f t="shared" si="6"/>
        <v>-44.800000000000011</v>
      </c>
      <c r="AA37" s="408">
        <f t="shared" si="6"/>
        <v>-78.199999999999989</v>
      </c>
      <c r="AB37" s="409">
        <f t="shared" si="6"/>
        <v>-124</v>
      </c>
      <c r="AC37" s="408">
        <f t="shared" si="6"/>
        <v>-81.199999999999989</v>
      </c>
      <c r="AD37" s="408">
        <f t="shared" si="6"/>
        <v>-83.6</v>
      </c>
      <c r="AE37" s="409">
        <f t="shared" si="6"/>
        <v>0</v>
      </c>
      <c r="AF37" s="408">
        <f t="shared" si="6"/>
        <v>0</v>
      </c>
      <c r="AG37" s="292">
        <f t="shared" si="6"/>
        <v>0</v>
      </c>
      <c r="AH37" s="291">
        <f t="shared" si="6"/>
        <v>0</v>
      </c>
      <c r="AI37" s="292">
        <f t="shared" si="6"/>
        <v>0</v>
      </c>
      <c r="AJ37" s="292">
        <f t="shared" si="6"/>
        <v>0</v>
      </c>
      <c r="AK37" s="291">
        <f t="shared" si="6"/>
        <v>0</v>
      </c>
      <c r="AL37" s="292">
        <f t="shared" si="6"/>
        <v>0</v>
      </c>
      <c r="AM37" s="292">
        <f t="shared" si="6"/>
        <v>0</v>
      </c>
      <c r="AN37" s="410">
        <f t="shared" si="4"/>
        <v>-1012.2000000000002</v>
      </c>
    </row>
    <row r="38" spans="2:40" ht="20.25" customHeight="1" thickBot="1" x14ac:dyDescent="0.2">
      <c r="B38" s="609" t="s">
        <v>207</v>
      </c>
      <c r="C38" s="610"/>
      <c r="D38" s="287"/>
      <c r="E38" s="288"/>
      <c r="F38" s="288"/>
      <c r="G38" s="287"/>
      <c r="H38" s="288"/>
      <c r="I38" s="288"/>
      <c r="J38" s="287"/>
      <c r="K38" s="288"/>
      <c r="L38" s="288"/>
      <c r="M38" s="287"/>
      <c r="N38" s="288"/>
      <c r="O38" s="288"/>
      <c r="P38" s="287"/>
      <c r="Q38" s="288"/>
      <c r="R38" s="288"/>
      <c r="S38" s="287"/>
      <c r="T38" s="288"/>
      <c r="U38" s="288"/>
      <c r="V38" s="287">
        <v>163</v>
      </c>
      <c r="W38" s="288">
        <v>147</v>
      </c>
      <c r="X38" s="288">
        <v>150</v>
      </c>
      <c r="Y38" s="287">
        <v>140</v>
      </c>
      <c r="Z38" s="288">
        <v>44</v>
      </c>
      <c r="AA38" s="288">
        <v>87</v>
      </c>
      <c r="AB38" s="287">
        <v>124</v>
      </c>
      <c r="AC38" s="288">
        <v>81</v>
      </c>
      <c r="AD38" s="288">
        <v>83</v>
      </c>
      <c r="AE38" s="287"/>
      <c r="AF38" s="288"/>
      <c r="AG38" s="288"/>
      <c r="AH38" s="287"/>
      <c r="AI38" s="288"/>
      <c r="AJ38" s="288"/>
      <c r="AK38" s="287"/>
      <c r="AL38" s="288"/>
      <c r="AM38" s="288"/>
      <c r="AN38" s="289">
        <f t="shared" si="4"/>
        <v>1019</v>
      </c>
    </row>
  </sheetData>
  <mergeCells count="47">
    <mergeCell ref="B37:C37"/>
    <mergeCell ref="B38:C38"/>
    <mergeCell ref="AK28:AM28"/>
    <mergeCell ref="AN28:AN29"/>
    <mergeCell ref="B30:C30"/>
    <mergeCell ref="B31:C31"/>
    <mergeCell ref="B32:B36"/>
    <mergeCell ref="V28:X28"/>
    <mergeCell ref="Y28:AA28"/>
    <mergeCell ref="AB28:AD28"/>
    <mergeCell ref="AE28:AG28"/>
    <mergeCell ref="AH28:AJ28"/>
    <mergeCell ref="G28:I28"/>
    <mergeCell ref="J28:L28"/>
    <mergeCell ref="M28:O28"/>
    <mergeCell ref="P28:R28"/>
    <mergeCell ref="S28:U28"/>
    <mergeCell ref="B22:C22"/>
    <mergeCell ref="B28:C29"/>
    <mergeCell ref="D28:F28"/>
    <mergeCell ref="B21:C21"/>
    <mergeCell ref="B19:C19"/>
    <mergeCell ref="B20:C20"/>
    <mergeCell ref="B14:C14"/>
    <mergeCell ref="B15:C15"/>
    <mergeCell ref="B16:C16"/>
    <mergeCell ref="B17:C17"/>
    <mergeCell ref="B18:C18"/>
    <mergeCell ref="B6:C9"/>
    <mergeCell ref="B10:C10"/>
    <mergeCell ref="B11:C11"/>
    <mergeCell ref="B12:C12"/>
    <mergeCell ref="B13:C13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zoomScale="75" zoomScaleNormal="75" zoomScaleSheetLayoutView="75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219</v>
      </c>
      <c r="C2" s="5"/>
      <c r="D2" s="5"/>
      <c r="E2" s="32"/>
      <c r="F2" s="620"/>
      <c r="G2" s="621"/>
      <c r="H2" s="297" t="s">
        <v>198</v>
      </c>
      <c r="I2" s="270" t="s">
        <v>364</v>
      </c>
      <c r="J2" s="270"/>
      <c r="K2" s="297" t="s">
        <v>199</v>
      </c>
      <c r="L2" s="270" t="s">
        <v>391</v>
      </c>
      <c r="M2" s="33"/>
      <c r="P2" s="294"/>
    </row>
    <row r="3" spans="2:16" ht="20.25" customHeight="1" x14ac:dyDescent="0.15">
      <c r="B3" s="622" t="s">
        <v>72</v>
      </c>
      <c r="C3" s="615" t="s">
        <v>34</v>
      </c>
      <c r="D3" s="615" t="s">
        <v>103</v>
      </c>
      <c r="E3" s="624" t="s">
        <v>35</v>
      </c>
      <c r="F3" s="625"/>
      <c r="G3" s="295" t="s">
        <v>36</v>
      </c>
      <c r="H3" s="295" t="s">
        <v>105</v>
      </c>
      <c r="I3" s="295" t="s">
        <v>104</v>
      </c>
      <c r="J3" s="615" t="s">
        <v>78</v>
      </c>
      <c r="K3" s="34" t="s">
        <v>220</v>
      </c>
      <c r="L3" s="295" t="s">
        <v>37</v>
      </c>
      <c r="M3" s="295" t="s">
        <v>106</v>
      </c>
      <c r="N3" s="295" t="s">
        <v>38</v>
      </c>
      <c r="O3" s="295" t="s">
        <v>39</v>
      </c>
      <c r="P3" s="352" t="s">
        <v>40</v>
      </c>
    </row>
    <row r="4" spans="2:16" ht="20.25" customHeight="1" x14ac:dyDescent="0.15">
      <c r="B4" s="623"/>
      <c r="C4" s="616"/>
      <c r="D4" s="616"/>
      <c r="E4" s="6" t="s">
        <v>79</v>
      </c>
      <c r="F4" s="6" t="s">
        <v>7</v>
      </c>
      <c r="G4" s="7" t="s">
        <v>221</v>
      </c>
      <c r="H4" s="7" t="s">
        <v>222</v>
      </c>
      <c r="I4" s="7" t="s">
        <v>108</v>
      </c>
      <c r="J4" s="616"/>
      <c r="K4" s="8" t="s">
        <v>223</v>
      </c>
      <c r="L4" s="7" t="s">
        <v>224</v>
      </c>
      <c r="M4" s="7" t="s">
        <v>225</v>
      </c>
      <c r="N4" s="7" t="s">
        <v>109</v>
      </c>
      <c r="O4" s="7" t="s">
        <v>226</v>
      </c>
      <c r="P4" s="353" t="s">
        <v>227</v>
      </c>
    </row>
    <row r="5" spans="2:16" ht="20.25" customHeight="1" x14ac:dyDescent="0.15">
      <c r="B5" s="617" t="s">
        <v>154</v>
      </c>
      <c r="C5" s="298" t="s">
        <v>215</v>
      </c>
      <c r="D5" s="298" t="s">
        <v>434</v>
      </c>
      <c r="E5" s="298">
        <v>40</v>
      </c>
      <c r="F5" s="35" t="s">
        <v>216</v>
      </c>
      <c r="G5" s="298">
        <v>1728000</v>
      </c>
      <c r="H5" s="299">
        <v>0</v>
      </c>
      <c r="I5" s="298">
        <f>G5*(1-H5)</f>
        <v>1728000</v>
      </c>
      <c r="J5" s="298" t="s">
        <v>351</v>
      </c>
      <c r="K5" s="300">
        <v>0.125</v>
      </c>
      <c r="L5" s="29">
        <f>I5*K5</f>
        <v>216000</v>
      </c>
      <c r="M5" s="38">
        <v>0</v>
      </c>
      <c r="N5" s="29">
        <v>1</v>
      </c>
      <c r="O5" s="29">
        <v>20</v>
      </c>
      <c r="P5" s="145">
        <f>IF(O5="","",(L5-N5)/O5)</f>
        <v>10799.95</v>
      </c>
    </row>
    <row r="6" spans="2:16" ht="20.25" customHeight="1" x14ac:dyDescent="0.15">
      <c r="B6" s="618"/>
      <c r="C6" s="298" t="s">
        <v>217</v>
      </c>
      <c r="D6" s="298" t="s">
        <v>398</v>
      </c>
      <c r="E6" s="298">
        <v>30</v>
      </c>
      <c r="F6" s="35" t="s">
        <v>216</v>
      </c>
      <c r="G6" s="298">
        <v>1240000</v>
      </c>
      <c r="H6" s="299">
        <v>0</v>
      </c>
      <c r="I6" s="298">
        <f t="shared" ref="I6:I7" si="0">G6*(1-H6)</f>
        <v>1240000</v>
      </c>
      <c r="J6" s="298" t="s">
        <v>351</v>
      </c>
      <c r="K6" s="300">
        <v>0.125</v>
      </c>
      <c r="L6" s="29">
        <f t="shared" ref="L6:L7" si="1">I6*K6</f>
        <v>155000</v>
      </c>
      <c r="M6" s="38">
        <v>0</v>
      </c>
      <c r="N6" s="29">
        <v>1</v>
      </c>
      <c r="O6" s="29">
        <v>20</v>
      </c>
      <c r="P6" s="145">
        <f t="shared" ref="P6:P11" si="2">IF(O6="","",(L6-N6)/O6)</f>
        <v>7749.95</v>
      </c>
    </row>
    <row r="7" spans="2:16" ht="20.25" customHeight="1" x14ac:dyDescent="0.15">
      <c r="B7" s="618"/>
      <c r="C7" s="298" t="s">
        <v>44</v>
      </c>
      <c r="D7" s="9" t="s">
        <v>435</v>
      </c>
      <c r="E7" s="298">
        <v>200</v>
      </c>
      <c r="F7" s="35" t="s">
        <v>216</v>
      </c>
      <c r="G7" s="298">
        <v>900000</v>
      </c>
      <c r="H7" s="299">
        <v>0</v>
      </c>
      <c r="I7" s="298">
        <f t="shared" si="0"/>
        <v>900000</v>
      </c>
      <c r="J7" s="298" t="s">
        <v>351</v>
      </c>
      <c r="K7" s="300">
        <v>0.125</v>
      </c>
      <c r="L7" s="29">
        <f t="shared" si="1"/>
        <v>112500</v>
      </c>
      <c r="M7" s="38">
        <v>0</v>
      </c>
      <c r="N7" s="29">
        <v>1</v>
      </c>
      <c r="O7" s="29">
        <v>10</v>
      </c>
      <c r="P7" s="145">
        <f t="shared" si="2"/>
        <v>11249.9</v>
      </c>
    </row>
    <row r="8" spans="2:16" ht="20.25" customHeight="1" x14ac:dyDescent="0.15">
      <c r="B8" s="618"/>
      <c r="C8" s="298" t="s">
        <v>349</v>
      </c>
      <c r="D8" s="298" t="s">
        <v>436</v>
      </c>
      <c r="E8" s="301">
        <v>200</v>
      </c>
      <c r="F8" s="35" t="s">
        <v>350</v>
      </c>
      <c r="G8" s="298">
        <v>900000</v>
      </c>
      <c r="H8" s="299">
        <v>0</v>
      </c>
      <c r="I8" s="298">
        <f t="shared" ref="I8:I11" si="3">G8*(1-H8)</f>
        <v>900000</v>
      </c>
      <c r="J8" s="298" t="s">
        <v>351</v>
      </c>
      <c r="K8" s="300">
        <v>0.125</v>
      </c>
      <c r="L8" s="29">
        <f t="shared" ref="L8:L11" si="4">I8*K8</f>
        <v>112500</v>
      </c>
      <c r="M8" s="38">
        <v>0</v>
      </c>
      <c r="N8" s="29">
        <v>1</v>
      </c>
      <c r="O8" s="29">
        <v>10</v>
      </c>
      <c r="P8" s="145">
        <f t="shared" si="2"/>
        <v>11249.9</v>
      </c>
    </row>
    <row r="9" spans="2:16" ht="20.25" customHeight="1" x14ac:dyDescent="0.15">
      <c r="B9" s="618"/>
      <c r="C9" s="298"/>
      <c r="D9" s="298"/>
      <c r="E9" s="301"/>
      <c r="F9" s="35"/>
      <c r="G9" s="298"/>
      <c r="H9" s="299"/>
      <c r="I9" s="298">
        <f t="shared" ref="I9:I10" si="5">G9*(1-H9)</f>
        <v>0</v>
      </c>
      <c r="J9" s="298"/>
      <c r="K9" s="300"/>
      <c r="L9" s="29">
        <f t="shared" ref="L9:L10" si="6">I9*K9</f>
        <v>0</v>
      </c>
      <c r="M9" s="38"/>
      <c r="N9" s="29">
        <f t="shared" ref="N9:N10" si="7">L9*M9/100</f>
        <v>0</v>
      </c>
      <c r="O9" s="29"/>
      <c r="P9" s="145" t="str">
        <f t="shared" ref="P9:P10" si="8">IF(O9="","",(L9-N9)/O9)</f>
        <v/>
      </c>
    </row>
    <row r="10" spans="2:16" ht="20.25" customHeight="1" x14ac:dyDescent="0.15">
      <c r="B10" s="618"/>
      <c r="C10" s="298"/>
      <c r="D10" s="298"/>
      <c r="E10" s="301"/>
      <c r="F10" s="35"/>
      <c r="G10" s="298"/>
      <c r="H10" s="299"/>
      <c r="I10" s="298">
        <f t="shared" si="5"/>
        <v>0</v>
      </c>
      <c r="J10" s="298"/>
      <c r="K10" s="300"/>
      <c r="L10" s="29">
        <f t="shared" si="6"/>
        <v>0</v>
      </c>
      <c r="M10" s="38"/>
      <c r="N10" s="29">
        <f t="shared" si="7"/>
        <v>0</v>
      </c>
      <c r="O10" s="29"/>
      <c r="P10" s="145" t="str">
        <f t="shared" si="8"/>
        <v/>
      </c>
    </row>
    <row r="11" spans="2:16" ht="20.25" customHeight="1" x14ac:dyDescent="0.15">
      <c r="B11" s="618"/>
      <c r="C11" s="29"/>
      <c r="D11" s="29"/>
      <c r="E11" s="29"/>
      <c r="F11" s="36"/>
      <c r="G11" s="29"/>
      <c r="H11" s="38"/>
      <c r="I11" s="29">
        <f t="shared" si="3"/>
        <v>0</v>
      </c>
      <c r="J11" s="29"/>
      <c r="K11" s="37"/>
      <c r="L11" s="29">
        <f t="shared" si="4"/>
        <v>0</v>
      </c>
      <c r="M11" s="38"/>
      <c r="N11" s="29">
        <f t="shared" ref="N11" si="9">L11*M11/100</f>
        <v>0</v>
      </c>
      <c r="O11" s="29"/>
      <c r="P11" s="145" t="str">
        <f t="shared" si="2"/>
        <v/>
      </c>
    </row>
    <row r="12" spans="2:16" ht="20.25" customHeight="1" x14ac:dyDescent="0.15">
      <c r="B12" s="619"/>
      <c r="C12" s="39" t="s">
        <v>41</v>
      </c>
      <c r="D12" s="40"/>
      <c r="E12" s="40"/>
      <c r="F12" s="41"/>
      <c r="G12" s="40">
        <f>SUM(G5:G11)</f>
        <v>4768000</v>
      </c>
      <c r="H12" s="40"/>
      <c r="I12" s="40">
        <f>SUM(I5:I11)</f>
        <v>4768000</v>
      </c>
      <c r="J12" s="40"/>
      <c r="K12" s="42"/>
      <c r="L12" s="40">
        <f>SUM(L5:L11)</f>
        <v>596000</v>
      </c>
      <c r="M12" s="40"/>
      <c r="N12" s="40"/>
      <c r="O12" s="40"/>
      <c r="P12" s="354">
        <f>SUM(P5:P11)</f>
        <v>41049.700000000004</v>
      </c>
    </row>
    <row r="13" spans="2:16" ht="20.25" customHeight="1" x14ac:dyDescent="0.15">
      <c r="B13" s="617" t="s">
        <v>155</v>
      </c>
      <c r="C13" s="298" t="s">
        <v>421</v>
      </c>
      <c r="D13" s="298" t="s">
        <v>476</v>
      </c>
      <c r="E13" s="298">
        <v>1</v>
      </c>
      <c r="F13" s="35" t="s">
        <v>45</v>
      </c>
      <c r="G13" s="298">
        <v>1100000</v>
      </c>
      <c r="H13" s="299">
        <v>0</v>
      </c>
      <c r="I13" s="298">
        <f>G13*(1-H13)</f>
        <v>1100000</v>
      </c>
      <c r="J13" s="298" t="s">
        <v>351</v>
      </c>
      <c r="K13" s="300">
        <v>0.125</v>
      </c>
      <c r="L13" s="298">
        <f>I13*K13</f>
        <v>137500</v>
      </c>
      <c r="M13" s="43">
        <v>0</v>
      </c>
      <c r="N13" s="29">
        <v>1</v>
      </c>
      <c r="O13" s="44">
        <v>7</v>
      </c>
      <c r="P13" s="145">
        <f t="shared" ref="P13:P36" si="10">IF(O13="","",(L13-N13)/O13)</f>
        <v>19642.714285714286</v>
      </c>
    </row>
    <row r="14" spans="2:16" ht="20.25" customHeight="1" x14ac:dyDescent="0.15">
      <c r="B14" s="618"/>
      <c r="C14" s="298" t="s">
        <v>218</v>
      </c>
      <c r="D14" s="298" t="s">
        <v>477</v>
      </c>
      <c r="E14" s="298">
        <v>1</v>
      </c>
      <c r="F14" s="35" t="s">
        <v>45</v>
      </c>
      <c r="G14" s="298">
        <v>500000</v>
      </c>
      <c r="H14" s="299">
        <v>0</v>
      </c>
      <c r="I14" s="298">
        <f>G14*(1-H14)</f>
        <v>500000</v>
      </c>
      <c r="J14" s="298" t="s">
        <v>351</v>
      </c>
      <c r="K14" s="300">
        <v>0.125</v>
      </c>
      <c r="L14" s="298">
        <f>I14*K14</f>
        <v>62500</v>
      </c>
      <c r="M14" s="43">
        <v>0</v>
      </c>
      <c r="N14" s="29">
        <v>1</v>
      </c>
      <c r="O14" s="29">
        <v>4</v>
      </c>
      <c r="P14" s="145">
        <f>IF(O14="","",(L14-N14)/O14)</f>
        <v>15624.75</v>
      </c>
    </row>
    <row r="15" spans="2:16" ht="20.25" customHeight="1" x14ac:dyDescent="0.15">
      <c r="B15" s="618"/>
      <c r="C15" s="9" t="s">
        <v>422</v>
      </c>
      <c r="D15" s="9" t="s">
        <v>439</v>
      </c>
      <c r="E15" s="298">
        <v>1</v>
      </c>
      <c r="F15" s="312" t="s">
        <v>233</v>
      </c>
      <c r="G15" s="298">
        <v>500000</v>
      </c>
      <c r="H15" s="299">
        <v>0</v>
      </c>
      <c r="I15" s="298">
        <f>G15*(1-H15)</f>
        <v>500000</v>
      </c>
      <c r="J15" s="298" t="s">
        <v>351</v>
      </c>
      <c r="K15" s="300">
        <v>0.125</v>
      </c>
      <c r="L15" s="298">
        <f>I15*K15</f>
        <v>62500</v>
      </c>
      <c r="M15" s="43">
        <v>0</v>
      </c>
      <c r="N15" s="29">
        <v>1</v>
      </c>
      <c r="O15" s="29">
        <v>7</v>
      </c>
      <c r="P15" s="145">
        <f>IF(O15="","",(L15-N15)/O15)</f>
        <v>8928.4285714285706</v>
      </c>
    </row>
    <row r="16" spans="2:16" ht="20.25" customHeight="1" x14ac:dyDescent="0.15">
      <c r="B16" s="618"/>
      <c r="C16" s="298" t="s">
        <v>299</v>
      </c>
      <c r="D16" s="298" t="s">
        <v>419</v>
      </c>
      <c r="E16" s="298">
        <v>1</v>
      </c>
      <c r="F16" s="312" t="s">
        <v>80</v>
      </c>
      <c r="G16" s="298">
        <v>540000</v>
      </c>
      <c r="H16" s="299">
        <v>0</v>
      </c>
      <c r="I16" s="298">
        <f t="shared" ref="I16:I41" si="11">G16*(1-H16)</f>
        <v>540000</v>
      </c>
      <c r="J16" s="298" t="s">
        <v>351</v>
      </c>
      <c r="K16" s="300">
        <v>0.125</v>
      </c>
      <c r="L16" s="298">
        <f t="shared" ref="L16:L36" si="12">I16*K16</f>
        <v>67500</v>
      </c>
      <c r="M16" s="38">
        <v>0</v>
      </c>
      <c r="N16" s="29">
        <v>1</v>
      </c>
      <c r="O16" s="29">
        <v>7</v>
      </c>
      <c r="P16" s="145">
        <f>IF(O16="","",(L16-N16)/O16)</f>
        <v>9642.7142857142862</v>
      </c>
    </row>
    <row r="17" spans="2:16" ht="20.25" customHeight="1" x14ac:dyDescent="0.15">
      <c r="B17" s="618"/>
      <c r="C17" s="298" t="s">
        <v>415</v>
      </c>
      <c r="D17" s="298" t="s">
        <v>416</v>
      </c>
      <c r="E17" s="298">
        <v>1</v>
      </c>
      <c r="F17" s="312" t="s">
        <v>80</v>
      </c>
      <c r="G17" s="298">
        <v>1500000</v>
      </c>
      <c r="H17" s="299">
        <v>0</v>
      </c>
      <c r="I17" s="298">
        <f t="shared" ref="I17" si="13">G17*(1-H17)</f>
        <v>1500000</v>
      </c>
      <c r="J17" s="298" t="s">
        <v>351</v>
      </c>
      <c r="K17" s="300">
        <v>0.125</v>
      </c>
      <c r="L17" s="298">
        <f t="shared" si="12"/>
        <v>187500</v>
      </c>
      <c r="M17" s="38">
        <v>0</v>
      </c>
      <c r="N17" s="29">
        <v>1</v>
      </c>
      <c r="O17" s="29">
        <v>7</v>
      </c>
      <c r="P17" s="145">
        <f t="shared" si="10"/>
        <v>26785.571428571428</v>
      </c>
    </row>
    <row r="18" spans="2:16" ht="20.25" customHeight="1" x14ac:dyDescent="0.15">
      <c r="B18" s="618"/>
      <c r="C18" s="298" t="s">
        <v>418</v>
      </c>
      <c r="D18" s="298" t="s">
        <v>417</v>
      </c>
      <c r="E18" s="298">
        <v>1</v>
      </c>
      <c r="F18" s="312" t="s">
        <v>80</v>
      </c>
      <c r="G18" s="298">
        <v>450000</v>
      </c>
      <c r="H18" s="299">
        <v>0</v>
      </c>
      <c r="I18" s="298">
        <f>G18*(1-H18)</f>
        <v>450000</v>
      </c>
      <c r="J18" s="298" t="s">
        <v>351</v>
      </c>
      <c r="K18" s="300">
        <v>0.125</v>
      </c>
      <c r="L18" s="298">
        <f>I18*K18</f>
        <v>56250</v>
      </c>
      <c r="M18" s="38">
        <v>0</v>
      </c>
      <c r="N18" s="29">
        <v>1</v>
      </c>
      <c r="O18" s="29">
        <v>7</v>
      </c>
      <c r="P18" s="145">
        <f>IF(O18="","",(L18-N18)/O18)</f>
        <v>8035.5714285714284</v>
      </c>
    </row>
    <row r="19" spans="2:16" ht="20.25" customHeight="1" x14ac:dyDescent="0.15">
      <c r="B19" s="618"/>
      <c r="C19" s="298" t="s">
        <v>298</v>
      </c>
      <c r="D19" s="298"/>
      <c r="E19" s="298">
        <v>1</v>
      </c>
      <c r="F19" s="312" t="s">
        <v>80</v>
      </c>
      <c r="G19" s="298">
        <v>500000</v>
      </c>
      <c r="H19" s="299">
        <v>0</v>
      </c>
      <c r="I19" s="298">
        <f t="shared" ref="I19" si="14">G19*(1-H19)</f>
        <v>500000</v>
      </c>
      <c r="J19" s="298" t="s">
        <v>351</v>
      </c>
      <c r="K19" s="300">
        <v>0.125</v>
      </c>
      <c r="L19" s="298">
        <f t="shared" si="12"/>
        <v>62500</v>
      </c>
      <c r="M19" s="38">
        <v>0</v>
      </c>
      <c r="N19" s="29">
        <v>1</v>
      </c>
      <c r="O19" s="29">
        <v>7</v>
      </c>
      <c r="P19" s="145">
        <f t="shared" si="10"/>
        <v>8928.4285714285706</v>
      </c>
    </row>
    <row r="20" spans="2:16" ht="20.25" customHeight="1" x14ac:dyDescent="0.15">
      <c r="B20" s="618"/>
      <c r="C20" s="298" t="s">
        <v>414</v>
      </c>
      <c r="D20" s="298" t="s">
        <v>448</v>
      </c>
      <c r="E20" s="298">
        <v>1</v>
      </c>
      <c r="F20" s="312" t="s">
        <v>80</v>
      </c>
      <c r="G20" s="298">
        <v>730000</v>
      </c>
      <c r="H20" s="299">
        <v>0</v>
      </c>
      <c r="I20" s="298">
        <f t="shared" si="11"/>
        <v>730000</v>
      </c>
      <c r="J20" s="298" t="s">
        <v>351</v>
      </c>
      <c r="K20" s="300">
        <v>0.125</v>
      </c>
      <c r="L20" s="298">
        <f t="shared" si="12"/>
        <v>91250</v>
      </c>
      <c r="M20" s="38">
        <v>0</v>
      </c>
      <c r="N20" s="29">
        <v>1</v>
      </c>
      <c r="O20" s="29">
        <v>7</v>
      </c>
      <c r="P20" s="145">
        <f t="shared" si="10"/>
        <v>13035.571428571429</v>
      </c>
    </row>
    <row r="21" spans="2:16" ht="20.25" customHeight="1" x14ac:dyDescent="0.15">
      <c r="B21" s="618"/>
      <c r="C21" s="298" t="s">
        <v>404</v>
      </c>
      <c r="D21" s="298"/>
      <c r="E21" s="298">
        <v>1</v>
      </c>
      <c r="F21" s="35" t="s">
        <v>368</v>
      </c>
      <c r="G21" s="298">
        <v>200000</v>
      </c>
      <c r="H21" s="299">
        <v>0</v>
      </c>
      <c r="I21" s="298">
        <f t="shared" si="11"/>
        <v>200000</v>
      </c>
      <c r="J21" s="298" t="s">
        <v>351</v>
      </c>
      <c r="K21" s="300">
        <v>0.125</v>
      </c>
      <c r="L21" s="298">
        <f t="shared" si="12"/>
        <v>25000</v>
      </c>
      <c r="M21" s="38">
        <v>0</v>
      </c>
      <c r="N21" s="29">
        <v>1</v>
      </c>
      <c r="O21" s="29">
        <v>7</v>
      </c>
      <c r="P21" s="145">
        <f t="shared" si="10"/>
        <v>3571.2857142857142</v>
      </c>
    </row>
    <row r="22" spans="2:16" ht="20.25" customHeight="1" x14ac:dyDescent="0.15">
      <c r="B22" s="618"/>
      <c r="C22" s="298" t="s">
        <v>420</v>
      </c>
      <c r="D22" s="298"/>
      <c r="E22" s="298">
        <v>1</v>
      </c>
      <c r="F22" s="35" t="s">
        <v>80</v>
      </c>
      <c r="G22" s="298">
        <v>400000</v>
      </c>
      <c r="H22" s="299">
        <v>0</v>
      </c>
      <c r="I22" s="298">
        <f t="shared" ref="I22" si="15">G22*(1-H22)</f>
        <v>400000</v>
      </c>
      <c r="J22" s="298" t="s">
        <v>351</v>
      </c>
      <c r="K22" s="300">
        <v>0.125</v>
      </c>
      <c r="L22" s="298">
        <f t="shared" si="12"/>
        <v>50000</v>
      </c>
      <c r="M22" s="38">
        <v>0</v>
      </c>
      <c r="N22" s="29">
        <v>1</v>
      </c>
      <c r="O22" s="29">
        <v>7</v>
      </c>
      <c r="P22" s="145">
        <f t="shared" si="10"/>
        <v>7142.7142857142853</v>
      </c>
    </row>
    <row r="23" spans="2:16" ht="20.25" customHeight="1" x14ac:dyDescent="0.15">
      <c r="B23" s="618"/>
      <c r="C23" s="298"/>
      <c r="D23" s="298"/>
      <c r="E23" s="298"/>
      <c r="F23" s="35"/>
      <c r="G23" s="298"/>
      <c r="H23" s="299"/>
      <c r="I23" s="298">
        <f t="shared" si="11"/>
        <v>0</v>
      </c>
      <c r="J23" s="298"/>
      <c r="K23" s="300"/>
      <c r="L23" s="298">
        <f t="shared" si="12"/>
        <v>0</v>
      </c>
      <c r="M23" s="38"/>
      <c r="N23" s="29">
        <f t="shared" ref="N23:N36" si="16">L23*M23</f>
        <v>0</v>
      </c>
      <c r="O23" s="29"/>
      <c r="P23" s="145" t="str">
        <f t="shared" si="10"/>
        <v/>
      </c>
    </row>
    <row r="24" spans="2:16" ht="20.25" customHeight="1" x14ac:dyDescent="0.15">
      <c r="B24" s="618"/>
      <c r="C24" s="298"/>
      <c r="D24" s="298"/>
      <c r="E24" s="298"/>
      <c r="F24" s="35"/>
      <c r="G24" s="298"/>
      <c r="H24" s="299"/>
      <c r="I24" s="298">
        <f t="shared" si="11"/>
        <v>0</v>
      </c>
      <c r="J24" s="298"/>
      <c r="K24" s="300"/>
      <c r="L24" s="298">
        <f t="shared" si="12"/>
        <v>0</v>
      </c>
      <c r="M24" s="38"/>
      <c r="N24" s="29">
        <f t="shared" si="16"/>
        <v>0</v>
      </c>
      <c r="O24" s="29"/>
      <c r="P24" s="145" t="str">
        <f t="shared" si="10"/>
        <v/>
      </c>
    </row>
    <row r="25" spans="2:16" ht="20.25" customHeight="1" x14ac:dyDescent="0.15">
      <c r="B25" s="618"/>
      <c r="C25" s="298"/>
      <c r="D25" s="298"/>
      <c r="E25" s="298"/>
      <c r="F25" s="35"/>
      <c r="G25" s="298"/>
      <c r="H25" s="299"/>
      <c r="I25" s="298">
        <f t="shared" si="11"/>
        <v>0</v>
      </c>
      <c r="J25" s="298"/>
      <c r="K25" s="300"/>
      <c r="L25" s="298">
        <f t="shared" si="12"/>
        <v>0</v>
      </c>
      <c r="M25" s="38"/>
      <c r="N25" s="29">
        <f t="shared" ref="N25:N26" si="17">L25*M25</f>
        <v>0</v>
      </c>
      <c r="O25" s="29"/>
      <c r="P25" s="145" t="str">
        <f t="shared" ref="P25:P26" si="18">IF(O25="","",(L25-N25)/O25)</f>
        <v/>
      </c>
    </row>
    <row r="26" spans="2:16" ht="20.25" customHeight="1" x14ac:dyDescent="0.15">
      <c r="B26" s="618"/>
      <c r="C26" s="298"/>
      <c r="D26" s="298"/>
      <c r="E26" s="298"/>
      <c r="F26" s="35"/>
      <c r="G26" s="298"/>
      <c r="H26" s="299"/>
      <c r="I26" s="298">
        <f t="shared" si="11"/>
        <v>0</v>
      </c>
      <c r="J26" s="298"/>
      <c r="K26" s="300"/>
      <c r="L26" s="298">
        <f t="shared" si="12"/>
        <v>0</v>
      </c>
      <c r="M26" s="38"/>
      <c r="N26" s="29">
        <f t="shared" si="17"/>
        <v>0</v>
      </c>
      <c r="O26" s="29"/>
      <c r="P26" s="145" t="str">
        <f t="shared" si="18"/>
        <v/>
      </c>
    </row>
    <row r="27" spans="2:16" ht="20.25" customHeight="1" x14ac:dyDescent="0.15">
      <c r="B27" s="618"/>
      <c r="C27" s="298"/>
      <c r="D27" s="298"/>
      <c r="E27" s="298"/>
      <c r="F27" s="35"/>
      <c r="G27" s="298"/>
      <c r="H27" s="299"/>
      <c r="I27" s="298">
        <f t="shared" si="11"/>
        <v>0</v>
      </c>
      <c r="J27" s="298"/>
      <c r="K27" s="300"/>
      <c r="L27" s="298">
        <f t="shared" si="12"/>
        <v>0</v>
      </c>
      <c r="M27" s="38"/>
      <c r="N27" s="29">
        <f t="shared" si="16"/>
        <v>0</v>
      </c>
      <c r="O27" s="29"/>
      <c r="P27" s="145" t="str">
        <f t="shared" si="10"/>
        <v/>
      </c>
    </row>
    <row r="28" spans="2:16" ht="20.25" customHeight="1" x14ac:dyDescent="0.15">
      <c r="B28" s="618"/>
      <c r="C28" s="298"/>
      <c r="D28" s="298"/>
      <c r="E28" s="298"/>
      <c r="F28" s="35"/>
      <c r="G28" s="298"/>
      <c r="H28" s="299"/>
      <c r="I28" s="298">
        <f t="shared" si="11"/>
        <v>0</v>
      </c>
      <c r="J28" s="298"/>
      <c r="K28" s="300"/>
      <c r="L28" s="298">
        <f t="shared" si="12"/>
        <v>0</v>
      </c>
      <c r="M28" s="38"/>
      <c r="N28" s="29">
        <f t="shared" si="16"/>
        <v>0</v>
      </c>
      <c r="O28" s="29"/>
      <c r="P28" s="145" t="str">
        <f t="shared" si="10"/>
        <v/>
      </c>
    </row>
    <row r="29" spans="2:16" ht="20.25" customHeight="1" x14ac:dyDescent="0.15">
      <c r="B29" s="618"/>
      <c r="C29" s="298"/>
      <c r="D29" s="298"/>
      <c r="E29" s="302"/>
      <c r="F29" s="35"/>
      <c r="G29" s="298"/>
      <c r="H29" s="299"/>
      <c r="I29" s="298">
        <f t="shared" si="11"/>
        <v>0</v>
      </c>
      <c r="J29" s="298"/>
      <c r="K29" s="300"/>
      <c r="L29" s="298">
        <f t="shared" si="12"/>
        <v>0</v>
      </c>
      <c r="M29" s="38"/>
      <c r="N29" s="29">
        <f t="shared" si="16"/>
        <v>0</v>
      </c>
      <c r="O29" s="29"/>
      <c r="P29" s="145" t="str">
        <f t="shared" si="10"/>
        <v/>
      </c>
    </row>
    <row r="30" spans="2:16" ht="20.25" customHeight="1" x14ac:dyDescent="0.15">
      <c r="B30" s="618"/>
      <c r="C30" s="298"/>
      <c r="D30" s="298"/>
      <c r="E30" s="298"/>
      <c r="F30" s="35"/>
      <c r="G30" s="298"/>
      <c r="H30" s="299"/>
      <c r="I30" s="298">
        <f t="shared" si="11"/>
        <v>0</v>
      </c>
      <c r="J30" s="298"/>
      <c r="K30" s="300"/>
      <c r="L30" s="298">
        <f t="shared" si="12"/>
        <v>0</v>
      </c>
      <c r="M30" s="38"/>
      <c r="N30" s="29">
        <f t="shared" si="16"/>
        <v>0</v>
      </c>
      <c r="O30" s="29"/>
      <c r="P30" s="145" t="str">
        <f t="shared" si="10"/>
        <v/>
      </c>
    </row>
    <row r="31" spans="2:16" ht="20.25" customHeight="1" x14ac:dyDescent="0.15">
      <c r="B31" s="618"/>
      <c r="C31" s="298"/>
      <c r="D31" s="298"/>
      <c r="E31" s="298"/>
      <c r="F31" s="35"/>
      <c r="G31" s="298"/>
      <c r="H31" s="299"/>
      <c r="I31" s="298">
        <f t="shared" si="11"/>
        <v>0</v>
      </c>
      <c r="J31" s="298"/>
      <c r="K31" s="300"/>
      <c r="L31" s="298">
        <f t="shared" si="12"/>
        <v>0</v>
      </c>
      <c r="M31" s="38"/>
      <c r="N31" s="29">
        <f t="shared" si="16"/>
        <v>0</v>
      </c>
      <c r="O31" s="29"/>
      <c r="P31" s="145" t="str">
        <f t="shared" si="10"/>
        <v/>
      </c>
    </row>
    <row r="32" spans="2:16" ht="20.25" customHeight="1" x14ac:dyDescent="0.15">
      <c r="B32" s="618"/>
      <c r="C32" s="298"/>
      <c r="D32" s="298"/>
      <c r="E32" s="298"/>
      <c r="F32" s="35"/>
      <c r="G32" s="298"/>
      <c r="H32" s="299"/>
      <c r="I32" s="298">
        <f t="shared" si="11"/>
        <v>0</v>
      </c>
      <c r="J32" s="298"/>
      <c r="K32" s="300"/>
      <c r="L32" s="298">
        <f t="shared" si="12"/>
        <v>0</v>
      </c>
      <c r="M32" s="38"/>
      <c r="N32" s="29">
        <f t="shared" si="16"/>
        <v>0</v>
      </c>
      <c r="O32" s="29"/>
      <c r="P32" s="145" t="str">
        <f t="shared" si="10"/>
        <v/>
      </c>
    </row>
    <row r="33" spans="2:16" ht="20.25" customHeight="1" x14ac:dyDescent="0.15">
      <c r="B33" s="618"/>
      <c r="C33" s="298"/>
      <c r="D33" s="298"/>
      <c r="E33" s="298"/>
      <c r="F33" s="35"/>
      <c r="G33" s="298"/>
      <c r="H33" s="299"/>
      <c r="I33" s="298">
        <f t="shared" si="11"/>
        <v>0</v>
      </c>
      <c r="J33" s="298"/>
      <c r="K33" s="300"/>
      <c r="L33" s="298">
        <f t="shared" si="12"/>
        <v>0</v>
      </c>
      <c r="M33" s="38"/>
      <c r="N33" s="29">
        <f t="shared" si="16"/>
        <v>0</v>
      </c>
      <c r="O33" s="29"/>
      <c r="P33" s="145" t="str">
        <f t="shared" si="10"/>
        <v/>
      </c>
    </row>
    <row r="34" spans="2:16" ht="20.25" customHeight="1" x14ac:dyDescent="0.15">
      <c r="B34" s="618"/>
      <c r="C34" s="298"/>
      <c r="D34" s="298"/>
      <c r="E34" s="298"/>
      <c r="F34" s="35"/>
      <c r="G34" s="298"/>
      <c r="H34" s="299"/>
      <c r="I34" s="298">
        <f t="shared" si="11"/>
        <v>0</v>
      </c>
      <c r="J34" s="298"/>
      <c r="K34" s="300"/>
      <c r="L34" s="298">
        <f t="shared" si="12"/>
        <v>0</v>
      </c>
      <c r="M34" s="38"/>
      <c r="N34" s="29">
        <f t="shared" si="16"/>
        <v>0</v>
      </c>
      <c r="O34" s="29"/>
      <c r="P34" s="145" t="str">
        <f t="shared" si="10"/>
        <v/>
      </c>
    </row>
    <row r="35" spans="2:16" ht="20.25" customHeight="1" x14ac:dyDescent="0.15">
      <c r="B35" s="618"/>
      <c r="C35" s="298"/>
      <c r="D35" s="298"/>
      <c r="E35" s="298"/>
      <c r="F35" s="35"/>
      <c r="G35" s="298"/>
      <c r="H35" s="299"/>
      <c r="I35" s="298">
        <f t="shared" ref="I35" si="19">G35*(1-H35)</f>
        <v>0</v>
      </c>
      <c r="J35" s="298"/>
      <c r="K35" s="300"/>
      <c r="L35" s="298">
        <f t="shared" si="12"/>
        <v>0</v>
      </c>
      <c r="M35" s="38"/>
      <c r="N35" s="29">
        <f t="shared" ref="N35" si="20">L35*M35</f>
        <v>0</v>
      </c>
      <c r="O35" s="29"/>
      <c r="P35" s="145" t="str">
        <f t="shared" ref="P35" si="21">IF(O35="","",(L35-N35)/O35)</f>
        <v/>
      </c>
    </row>
    <row r="36" spans="2:16" ht="20.25" customHeight="1" x14ac:dyDescent="0.15">
      <c r="B36" s="618"/>
      <c r="C36" s="298"/>
      <c r="D36" s="298"/>
      <c r="E36" s="298"/>
      <c r="F36" s="35"/>
      <c r="G36" s="298"/>
      <c r="H36" s="299"/>
      <c r="I36" s="298">
        <f t="shared" ref="I36" si="22">G36*(1-H36)</f>
        <v>0</v>
      </c>
      <c r="J36" s="298"/>
      <c r="K36" s="300"/>
      <c r="L36" s="298">
        <f t="shared" si="12"/>
        <v>0</v>
      </c>
      <c r="M36" s="38"/>
      <c r="N36" s="29">
        <f t="shared" si="16"/>
        <v>0</v>
      </c>
      <c r="O36" s="29"/>
      <c r="P36" s="145" t="str">
        <f t="shared" si="10"/>
        <v/>
      </c>
    </row>
    <row r="37" spans="2:16" ht="20.25" customHeight="1" x14ac:dyDescent="0.15">
      <c r="B37" s="619"/>
      <c r="C37" s="303" t="s">
        <v>42</v>
      </c>
      <c r="D37" s="303"/>
      <c r="E37" s="303"/>
      <c r="F37" s="304"/>
      <c r="G37" s="303">
        <f>SUM(G13:G35)</f>
        <v>6420000</v>
      </c>
      <c r="H37" s="303"/>
      <c r="I37" s="303">
        <f>SUM(I13:I35)</f>
        <v>6420000</v>
      </c>
      <c r="J37" s="303"/>
      <c r="K37" s="305"/>
      <c r="L37" s="303">
        <f>SUM(L13:L35)</f>
        <v>802500</v>
      </c>
      <c r="M37" s="40"/>
      <c r="N37" s="40"/>
      <c r="O37" s="40"/>
      <c r="P37" s="354">
        <f>SUM(P13:P35)</f>
        <v>121337.75000000001</v>
      </c>
    </row>
    <row r="38" spans="2:16" ht="20.25" customHeight="1" x14ac:dyDescent="0.15">
      <c r="B38" s="617" t="s">
        <v>107</v>
      </c>
      <c r="C38" s="298"/>
      <c r="D38" s="298"/>
      <c r="E38" s="298"/>
      <c r="F38" s="298"/>
      <c r="G38" s="298"/>
      <c r="H38" s="306"/>
      <c r="I38" s="298">
        <f t="shared" si="11"/>
        <v>0</v>
      </c>
      <c r="J38" s="298"/>
      <c r="K38" s="300"/>
      <c r="L38" s="298">
        <f>I38*K38</f>
        <v>0</v>
      </c>
      <c r="M38" s="45"/>
      <c r="N38" s="29">
        <f>L38*M38</f>
        <v>0</v>
      </c>
      <c r="O38" s="29"/>
      <c r="P38" s="145" t="str">
        <f>IF(O38="","",(L38-N38)/O38)</f>
        <v/>
      </c>
    </row>
    <row r="39" spans="2:16" ht="20.25" customHeight="1" x14ac:dyDescent="0.15">
      <c r="B39" s="618"/>
      <c r="C39" s="298"/>
      <c r="D39" s="298"/>
      <c r="E39" s="298"/>
      <c r="F39" s="298"/>
      <c r="G39" s="298"/>
      <c r="H39" s="306"/>
      <c r="I39" s="298">
        <f t="shared" si="11"/>
        <v>0</v>
      </c>
      <c r="J39" s="298"/>
      <c r="K39" s="300"/>
      <c r="L39" s="298">
        <f>I39*K39</f>
        <v>0</v>
      </c>
      <c r="M39" s="45"/>
      <c r="N39" s="29">
        <f>L39*M39</f>
        <v>0</v>
      </c>
      <c r="O39" s="29"/>
      <c r="P39" s="145" t="str">
        <f>IF(O39="","",(L39-N39)/O39)</f>
        <v/>
      </c>
    </row>
    <row r="40" spans="2:16" ht="20.25" customHeight="1" x14ac:dyDescent="0.15">
      <c r="B40" s="618"/>
      <c r="C40" s="29"/>
      <c r="D40" s="29"/>
      <c r="E40" s="29"/>
      <c r="F40" s="29"/>
      <c r="G40" s="29"/>
      <c r="H40" s="45"/>
      <c r="I40" s="29">
        <f t="shared" si="11"/>
        <v>0</v>
      </c>
      <c r="J40" s="29"/>
      <c r="K40" s="37"/>
      <c r="L40" s="29">
        <f>I40*K40</f>
        <v>0</v>
      </c>
      <c r="M40" s="45"/>
      <c r="N40" s="29">
        <f>L40*M40</f>
        <v>0</v>
      </c>
      <c r="O40" s="29"/>
      <c r="P40" s="145" t="str">
        <f>IF(O40="","",(L40-N40)/O40)</f>
        <v/>
      </c>
    </row>
    <row r="41" spans="2:16" ht="20.25" customHeight="1" x14ac:dyDescent="0.15">
      <c r="B41" s="618"/>
      <c r="C41" s="29"/>
      <c r="D41" s="29"/>
      <c r="E41" s="29"/>
      <c r="F41" s="29"/>
      <c r="G41" s="29"/>
      <c r="H41" s="45"/>
      <c r="I41" s="29">
        <f t="shared" si="11"/>
        <v>0</v>
      </c>
      <c r="J41" s="29"/>
      <c r="K41" s="37"/>
      <c r="L41" s="29">
        <f>I41*K41</f>
        <v>0</v>
      </c>
      <c r="M41" s="45"/>
      <c r="N41" s="29">
        <f>L41*M41</f>
        <v>0</v>
      </c>
      <c r="O41" s="29"/>
      <c r="P41" s="145" t="str">
        <f>IF(O41="","",(L41-N41)/O41)</f>
        <v/>
      </c>
    </row>
    <row r="42" spans="2:16" ht="20.25" customHeight="1" x14ac:dyDescent="0.15">
      <c r="B42" s="619"/>
      <c r="C42" s="46" t="s">
        <v>42</v>
      </c>
      <c r="D42" s="40"/>
      <c r="E42" s="40"/>
      <c r="F42" s="41"/>
      <c r="G42" s="40">
        <f>SUM(G38:G41)</f>
        <v>0</v>
      </c>
      <c r="H42" s="40"/>
      <c r="I42" s="40">
        <f>SUM(I38:I41)</f>
        <v>0</v>
      </c>
      <c r="J42" s="40"/>
      <c r="K42" s="42"/>
      <c r="L42" s="40">
        <f>SUM(L38:L41)</f>
        <v>0</v>
      </c>
      <c r="M42" s="40"/>
      <c r="N42" s="40"/>
      <c r="O42" s="40"/>
      <c r="P42" s="354">
        <f>SUM(P38:P41)</f>
        <v>0</v>
      </c>
    </row>
    <row r="43" spans="2:16" ht="20.25" customHeight="1" thickBot="1" x14ac:dyDescent="0.2">
      <c r="B43" s="47"/>
      <c r="C43" s="48" t="s">
        <v>228</v>
      </c>
      <c r="D43" s="49"/>
      <c r="E43" s="49"/>
      <c r="F43" s="50"/>
      <c r="G43" s="49">
        <f>G12+G37+G42</f>
        <v>11188000</v>
      </c>
      <c r="H43" s="49"/>
      <c r="I43" s="49">
        <f>I12+I37+I42</f>
        <v>11188000</v>
      </c>
      <c r="J43" s="49"/>
      <c r="K43" s="51"/>
      <c r="L43" s="49">
        <f>L12+L37+L42</f>
        <v>1398500</v>
      </c>
      <c r="M43" s="49"/>
      <c r="N43" s="49"/>
      <c r="O43" s="49"/>
      <c r="P43" s="355">
        <f>P12+P37+P42</f>
        <v>162387.45000000001</v>
      </c>
    </row>
    <row r="44" spans="2:16" ht="11.25" customHeight="1" x14ac:dyDescent="0.15"/>
  </sheetData>
  <mergeCells count="9">
    <mergeCell ref="J3:J4"/>
    <mergeCell ref="B38:B42"/>
    <mergeCell ref="B13:B37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103" customWidth="1"/>
    <col min="2" max="2" width="5.875" style="103" customWidth="1"/>
    <col min="3" max="3" width="10.625" style="103" customWidth="1"/>
    <col min="4" max="4" width="12.375" style="103" customWidth="1"/>
    <col min="5" max="5" width="14.625" style="103" customWidth="1"/>
    <col min="6" max="7" width="15.875" style="103" customWidth="1"/>
    <col min="8" max="8" width="10.875" style="103"/>
    <col min="9" max="9" width="11.375" style="103" bestFit="1" customWidth="1"/>
    <col min="10" max="10" width="13.375" style="103" customWidth="1"/>
    <col min="11" max="11" width="7.125" style="103" customWidth="1"/>
    <col min="12" max="12" width="15.375" style="103" customWidth="1"/>
    <col min="13" max="13" width="9.375" style="103" bestFit="1" customWidth="1"/>
    <col min="14" max="14" width="10.875" style="103"/>
    <col min="15" max="15" width="7.25" style="103" customWidth="1"/>
    <col min="16" max="16" width="9.625" style="103" customWidth="1"/>
    <col min="17" max="17" width="10.875" style="103" customWidth="1"/>
    <col min="18" max="18" width="7.5" style="103" customWidth="1"/>
    <col min="19" max="19" width="3.75" style="103" customWidth="1"/>
    <col min="20" max="16384" width="10.875" style="103"/>
  </cols>
  <sheetData>
    <row r="1" spans="2:19" s="104" customFormat="1" ht="9.9499999999999993" customHeight="1" x14ac:dyDescent="0.1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19" s="104" customFormat="1" ht="24.95" customHeight="1" thickBot="1" x14ac:dyDescent="0.2">
      <c r="B2" s="3" t="s">
        <v>352</v>
      </c>
      <c r="H2" s="105" t="s">
        <v>198</v>
      </c>
      <c r="I2" s="3" t="s">
        <v>402</v>
      </c>
      <c r="K2" s="105" t="s">
        <v>199</v>
      </c>
      <c r="L2" s="270" t="s">
        <v>391</v>
      </c>
      <c r="N2" s="103"/>
      <c r="O2" s="103"/>
      <c r="Q2" s="4"/>
      <c r="R2" s="4"/>
    </row>
    <row r="3" spans="2:19" s="104" customFormat="1" ht="18" customHeight="1" x14ac:dyDescent="0.15">
      <c r="B3" s="646" t="s">
        <v>17</v>
      </c>
      <c r="C3" s="647"/>
      <c r="D3" s="647"/>
      <c r="E3" s="648"/>
      <c r="F3" s="137" t="s">
        <v>18</v>
      </c>
      <c r="G3" s="107"/>
      <c r="H3" s="108" t="s">
        <v>19</v>
      </c>
      <c r="I3" s="106"/>
      <c r="J3" s="106"/>
      <c r="K3" s="649" t="s">
        <v>169</v>
      </c>
      <c r="L3" s="650"/>
      <c r="M3" s="650"/>
      <c r="N3" s="650"/>
      <c r="O3" s="650"/>
      <c r="P3" s="650"/>
      <c r="Q3" s="650"/>
      <c r="R3" s="650"/>
      <c r="S3" s="651"/>
    </row>
    <row r="4" spans="2:19" s="104" customFormat="1" ht="18" customHeight="1" x14ac:dyDescent="0.15">
      <c r="B4" s="644" t="s">
        <v>20</v>
      </c>
      <c r="C4" s="645"/>
      <c r="D4" s="200" t="s">
        <v>164</v>
      </c>
      <c r="E4" s="211"/>
      <c r="F4" s="207">
        <f>R11</f>
        <v>1820700.7999999998</v>
      </c>
      <c r="G4" s="654" t="s">
        <v>450</v>
      </c>
      <c r="H4" s="655"/>
      <c r="I4" s="655"/>
      <c r="J4" s="656"/>
      <c r="K4" s="308" t="s">
        <v>229</v>
      </c>
      <c r="L4" s="309" t="s">
        <v>230</v>
      </c>
      <c r="M4" s="206" t="s">
        <v>21</v>
      </c>
      <c r="N4" s="365" t="s">
        <v>20</v>
      </c>
      <c r="O4" s="363" t="s">
        <v>229</v>
      </c>
      <c r="P4" s="309" t="s">
        <v>231</v>
      </c>
      <c r="Q4" s="206" t="s">
        <v>21</v>
      </c>
      <c r="R4" s="657" t="s">
        <v>20</v>
      </c>
      <c r="S4" s="658"/>
    </row>
    <row r="5" spans="2:19" s="104" customFormat="1" ht="18" customHeight="1" x14ac:dyDescent="0.15">
      <c r="B5" s="644"/>
      <c r="C5" s="645"/>
      <c r="D5" s="200" t="s">
        <v>73</v>
      </c>
      <c r="E5" s="211"/>
      <c r="F5" s="207"/>
      <c r="G5" s="178"/>
      <c r="H5" s="212"/>
      <c r="I5" s="212"/>
      <c r="J5" s="212"/>
      <c r="K5" s="307" t="s">
        <v>303</v>
      </c>
      <c r="L5" s="207">
        <v>4725</v>
      </c>
      <c r="M5" s="400">
        <v>51</v>
      </c>
      <c r="N5" s="366">
        <f>L5*M5</f>
        <v>240975</v>
      </c>
      <c r="O5" s="364" t="s">
        <v>304</v>
      </c>
      <c r="P5" s="207">
        <v>1378</v>
      </c>
      <c r="Q5" s="400">
        <v>35.799999999999997</v>
      </c>
      <c r="R5" s="652">
        <f>P5*Q5</f>
        <v>49332.399999999994</v>
      </c>
      <c r="S5" s="653"/>
    </row>
    <row r="6" spans="2:19" s="104" customFormat="1" ht="18" customHeight="1" x14ac:dyDescent="0.15">
      <c r="B6" s="632" t="s">
        <v>167</v>
      </c>
      <c r="C6" s="635" t="s">
        <v>254</v>
      </c>
      <c r="D6" s="207" t="s">
        <v>47</v>
      </c>
      <c r="E6" s="213"/>
      <c r="F6" s="207">
        <f>+P15</f>
        <v>78225</v>
      </c>
      <c r="G6" s="178" t="s">
        <v>156</v>
      </c>
      <c r="H6" s="212"/>
      <c r="I6" s="212"/>
      <c r="J6" s="212"/>
      <c r="K6" s="307" t="s">
        <v>302</v>
      </c>
      <c r="L6" s="209">
        <v>7875</v>
      </c>
      <c r="M6" s="400">
        <v>66</v>
      </c>
      <c r="N6" s="366">
        <f>L6*M6</f>
        <v>519750</v>
      </c>
      <c r="O6" s="364" t="s">
        <v>305</v>
      </c>
      <c r="P6" s="207">
        <v>2297</v>
      </c>
      <c r="Q6" s="400">
        <v>43</v>
      </c>
      <c r="R6" s="652">
        <f t="shared" ref="R6:R8" si="0">P6*Q6</f>
        <v>98771</v>
      </c>
      <c r="S6" s="653"/>
    </row>
    <row r="7" spans="2:19" s="104" customFormat="1" ht="18" customHeight="1" x14ac:dyDescent="0.15">
      <c r="B7" s="633"/>
      <c r="C7" s="636"/>
      <c r="D7" s="207" t="s">
        <v>48</v>
      </c>
      <c r="E7" s="213"/>
      <c r="F7" s="207">
        <f>P22</f>
        <v>55740</v>
      </c>
      <c r="G7" s="200" t="s">
        <v>478</v>
      </c>
      <c r="H7" s="119"/>
      <c r="I7" s="119"/>
      <c r="J7" s="214"/>
      <c r="K7" s="307" t="s">
        <v>301</v>
      </c>
      <c r="L7" s="210">
        <v>7875</v>
      </c>
      <c r="M7" s="400">
        <v>61.9</v>
      </c>
      <c r="N7" s="366">
        <f t="shared" ref="N7:N8" si="1">L7*M7</f>
        <v>487462.5</v>
      </c>
      <c r="O7" s="364" t="s">
        <v>306</v>
      </c>
      <c r="P7" s="207">
        <v>2297</v>
      </c>
      <c r="Q7" s="400">
        <v>40.1</v>
      </c>
      <c r="R7" s="652">
        <f t="shared" si="0"/>
        <v>92109.7</v>
      </c>
      <c r="S7" s="653"/>
    </row>
    <row r="8" spans="2:19" s="104" customFormat="1" ht="18" customHeight="1" x14ac:dyDescent="0.15">
      <c r="B8" s="633"/>
      <c r="C8" s="636"/>
      <c r="D8" s="207" t="s">
        <v>49</v>
      </c>
      <c r="E8" s="213"/>
      <c r="F8" s="207">
        <f>P28</f>
        <v>110569</v>
      </c>
      <c r="G8" s="180" t="s">
        <v>479</v>
      </c>
      <c r="H8" s="189"/>
      <c r="I8" s="189"/>
      <c r="J8" s="215"/>
      <c r="K8" s="307" t="s">
        <v>300</v>
      </c>
      <c r="L8" s="207">
        <v>4725</v>
      </c>
      <c r="M8" s="400">
        <v>58.4</v>
      </c>
      <c r="N8" s="366">
        <f t="shared" si="1"/>
        <v>275940</v>
      </c>
      <c r="O8" s="364" t="s">
        <v>307</v>
      </c>
      <c r="P8" s="207">
        <v>1378</v>
      </c>
      <c r="Q8" s="400">
        <v>40.9</v>
      </c>
      <c r="R8" s="652">
        <f t="shared" si="0"/>
        <v>56360.2</v>
      </c>
      <c r="S8" s="653"/>
    </row>
    <row r="9" spans="2:19" s="104" customFormat="1" ht="18" customHeight="1" x14ac:dyDescent="0.15">
      <c r="B9" s="633"/>
      <c r="C9" s="636"/>
      <c r="D9" s="207" t="s">
        <v>74</v>
      </c>
      <c r="E9" s="213"/>
      <c r="F9" s="207">
        <f>P37</f>
        <v>31060.980000000003</v>
      </c>
      <c r="G9" s="180" t="s">
        <v>480</v>
      </c>
      <c r="H9" s="189"/>
      <c r="I9" s="189"/>
      <c r="J9" s="215"/>
      <c r="K9" s="208"/>
      <c r="L9" s="207"/>
      <c r="M9" s="207"/>
      <c r="N9" s="366"/>
      <c r="O9" s="208"/>
      <c r="P9" s="207"/>
      <c r="Q9" s="207"/>
      <c r="R9" s="652"/>
      <c r="S9" s="653"/>
    </row>
    <row r="10" spans="2:19" s="104" customFormat="1" ht="18" customHeight="1" x14ac:dyDescent="0.15">
      <c r="B10" s="633"/>
      <c r="C10" s="636"/>
      <c r="D10" s="207" t="s">
        <v>50</v>
      </c>
      <c r="E10" s="213"/>
      <c r="F10" s="207">
        <f>'８　きく算出基礎'!V20</f>
        <v>110727.86666666667</v>
      </c>
      <c r="G10" s="681"/>
      <c r="H10" s="682"/>
      <c r="I10" s="682"/>
      <c r="J10" s="653"/>
      <c r="K10" s="208"/>
      <c r="L10" s="207"/>
      <c r="M10" s="207"/>
      <c r="N10" s="366"/>
      <c r="O10" s="208"/>
      <c r="P10" s="207"/>
      <c r="Q10" s="207"/>
      <c r="R10" s="652"/>
      <c r="S10" s="653"/>
    </row>
    <row r="11" spans="2:19" s="104" customFormat="1" ht="18" customHeight="1" thickBot="1" x14ac:dyDescent="0.2">
      <c r="B11" s="633"/>
      <c r="C11" s="636"/>
      <c r="D11" s="207" t="s">
        <v>4</v>
      </c>
      <c r="E11" s="213"/>
      <c r="F11" s="207">
        <f>'８　きく算出基礎'!V34</f>
        <v>7805.416666666667</v>
      </c>
      <c r="G11" s="681"/>
      <c r="H11" s="682"/>
      <c r="I11" s="682"/>
      <c r="J11" s="653"/>
      <c r="K11" s="125"/>
      <c r="L11" s="110"/>
      <c r="M11" s="110"/>
      <c r="N11" s="109"/>
      <c r="O11" s="111" t="s">
        <v>22</v>
      </c>
      <c r="P11" s="112">
        <f>+L5+L6+L7+L8+P5+P6+P7+P8</f>
        <v>32550</v>
      </c>
      <c r="Q11" s="113">
        <f>R11/P11</f>
        <v>55.935508448540702</v>
      </c>
      <c r="R11" s="670">
        <f>+N5+N6+N7+N8+R5+R6+R7+R8</f>
        <v>1820700.7999999998</v>
      </c>
      <c r="S11" s="671"/>
    </row>
    <row r="12" spans="2:19" s="104" customFormat="1" ht="18" customHeight="1" thickTop="1" x14ac:dyDescent="0.15">
      <c r="B12" s="633"/>
      <c r="C12" s="636"/>
      <c r="D12" s="207" t="s">
        <v>5</v>
      </c>
      <c r="E12" s="213"/>
      <c r="F12" s="207"/>
      <c r="G12" s="180"/>
      <c r="H12" s="189"/>
      <c r="I12" s="189"/>
      <c r="J12" s="215"/>
      <c r="K12" s="685" t="s">
        <v>168</v>
      </c>
      <c r="L12" s="202" t="s">
        <v>128</v>
      </c>
      <c r="M12" s="203" t="s">
        <v>7</v>
      </c>
      <c r="N12" s="316" t="s">
        <v>234</v>
      </c>
      <c r="O12" s="204" t="s">
        <v>21</v>
      </c>
      <c r="P12" s="204" t="s">
        <v>24</v>
      </c>
      <c r="Q12" s="672" t="s">
        <v>25</v>
      </c>
      <c r="R12" s="673"/>
      <c r="S12" s="674"/>
    </row>
    <row r="13" spans="2:19" s="104" customFormat="1" ht="18" customHeight="1" x14ac:dyDescent="0.15">
      <c r="B13" s="633"/>
      <c r="C13" s="636"/>
      <c r="D13" s="641" t="s">
        <v>51</v>
      </c>
      <c r="E13" s="216" t="s">
        <v>154</v>
      </c>
      <c r="F13" s="207">
        <f>'６　固定資本装備と減価償却費'!L12*'７　きく部門収支'!H13</f>
        <v>5960</v>
      </c>
      <c r="G13" s="180" t="s">
        <v>157</v>
      </c>
      <c r="H13" s="405">
        <v>0.01</v>
      </c>
      <c r="I13" s="683" t="s">
        <v>159</v>
      </c>
      <c r="J13" s="684"/>
      <c r="K13" s="686"/>
      <c r="L13" s="296" t="s">
        <v>356</v>
      </c>
      <c r="M13" s="315" t="s">
        <v>358</v>
      </c>
      <c r="N13" s="377">
        <v>0.45</v>
      </c>
      <c r="O13" s="140">
        <v>140000</v>
      </c>
      <c r="P13" s="140">
        <f>N13*O13</f>
        <v>63000</v>
      </c>
      <c r="Q13" s="654" t="s">
        <v>411</v>
      </c>
      <c r="R13" s="665"/>
      <c r="S13" s="666"/>
    </row>
    <row r="14" spans="2:19" s="104" customFormat="1" ht="18" customHeight="1" x14ac:dyDescent="0.15">
      <c r="B14" s="633"/>
      <c r="C14" s="636"/>
      <c r="D14" s="642"/>
      <c r="E14" s="216" t="s">
        <v>155</v>
      </c>
      <c r="F14" s="207">
        <f>'６　固定資本装備と減価償却費'!L37*'７　きく部門収支'!H14</f>
        <v>40125</v>
      </c>
      <c r="G14" s="180" t="s">
        <v>157</v>
      </c>
      <c r="H14" s="405">
        <v>0.05</v>
      </c>
      <c r="I14" s="683" t="s">
        <v>159</v>
      </c>
      <c r="J14" s="684"/>
      <c r="K14" s="686"/>
      <c r="L14" s="205" t="s">
        <v>357</v>
      </c>
      <c r="M14" s="201" t="s">
        <v>358</v>
      </c>
      <c r="N14" s="377">
        <v>0.17499999999999999</v>
      </c>
      <c r="O14" s="140">
        <v>87000</v>
      </c>
      <c r="P14" s="140">
        <f>N14*O14</f>
        <v>15224.999999999998</v>
      </c>
      <c r="Q14" s="654" t="s">
        <v>412</v>
      </c>
      <c r="R14" s="665"/>
      <c r="S14" s="666"/>
    </row>
    <row r="15" spans="2:19" s="104" customFormat="1" ht="18" customHeight="1" thickBot="1" x14ac:dyDescent="0.2">
      <c r="B15" s="633"/>
      <c r="C15" s="636"/>
      <c r="D15" s="641" t="s">
        <v>75</v>
      </c>
      <c r="E15" s="216" t="s">
        <v>154</v>
      </c>
      <c r="F15" s="207">
        <f>'６　固定資本装備と減価償却費'!P12</f>
        <v>41049.700000000004</v>
      </c>
      <c r="G15" s="180" t="s">
        <v>159</v>
      </c>
      <c r="H15" s="189"/>
      <c r="I15" s="189"/>
      <c r="J15" s="215"/>
      <c r="K15" s="686"/>
      <c r="L15" s="117" t="s">
        <v>26</v>
      </c>
      <c r="M15" s="116"/>
      <c r="N15" s="117"/>
      <c r="O15" s="117"/>
      <c r="P15" s="117">
        <f>+P13+P14</f>
        <v>78225</v>
      </c>
      <c r="Q15" s="667"/>
      <c r="R15" s="668"/>
      <c r="S15" s="669"/>
    </row>
    <row r="16" spans="2:19" s="104" customFormat="1" ht="18" customHeight="1" thickTop="1" x14ac:dyDescent="0.15">
      <c r="B16" s="633"/>
      <c r="C16" s="636"/>
      <c r="D16" s="643"/>
      <c r="E16" s="216" t="s">
        <v>155</v>
      </c>
      <c r="F16" s="207">
        <f>'６　固定資本装備と減価償却費'!P37</f>
        <v>121337.75000000001</v>
      </c>
      <c r="G16" s="180" t="s">
        <v>159</v>
      </c>
      <c r="H16" s="189"/>
      <c r="I16" s="189"/>
      <c r="J16" s="215"/>
      <c r="K16" s="686"/>
      <c r="L16" s="196" t="s">
        <v>129</v>
      </c>
      <c r="M16" s="197"/>
      <c r="N16" s="317" t="s">
        <v>234</v>
      </c>
      <c r="O16" s="198" t="s">
        <v>21</v>
      </c>
      <c r="P16" s="199" t="s">
        <v>24</v>
      </c>
      <c r="Q16" s="662" t="s">
        <v>25</v>
      </c>
      <c r="R16" s="663"/>
      <c r="S16" s="664"/>
    </row>
    <row r="17" spans="1:19" s="104" customFormat="1" ht="18" customHeight="1" x14ac:dyDescent="0.15">
      <c r="B17" s="633"/>
      <c r="C17" s="636"/>
      <c r="D17" s="642"/>
      <c r="E17" s="207" t="s">
        <v>52</v>
      </c>
      <c r="F17" s="207">
        <f>'６　固定資本装備と減価償却費'!P42</f>
        <v>0</v>
      </c>
      <c r="G17" s="180" t="s">
        <v>159</v>
      </c>
      <c r="H17" s="189"/>
      <c r="I17" s="189"/>
      <c r="J17" s="215"/>
      <c r="K17" s="686"/>
      <c r="L17" s="200" t="s">
        <v>135</v>
      </c>
      <c r="M17" s="201"/>
      <c r="N17" s="374" t="s">
        <v>316</v>
      </c>
      <c r="O17" s="193"/>
      <c r="P17" s="191">
        <f>+'８　きく算出基礎'!G7</f>
        <v>11400</v>
      </c>
      <c r="Q17" s="659"/>
      <c r="R17" s="660"/>
      <c r="S17" s="661"/>
    </row>
    <row r="18" spans="1:19" s="104" customFormat="1" ht="18" customHeight="1" x14ac:dyDescent="0.15">
      <c r="A18" s="103"/>
      <c r="B18" s="633"/>
      <c r="C18" s="636"/>
      <c r="D18" s="207" t="s">
        <v>53</v>
      </c>
      <c r="E18" s="213"/>
      <c r="F18" s="207">
        <v>3000</v>
      </c>
      <c r="G18" s="180"/>
      <c r="H18" s="189"/>
      <c r="I18" s="406"/>
      <c r="J18" s="215"/>
      <c r="K18" s="686"/>
      <c r="L18" s="200" t="s">
        <v>133</v>
      </c>
      <c r="M18" s="201"/>
      <c r="N18" s="374" t="s">
        <v>317</v>
      </c>
      <c r="O18" s="193"/>
      <c r="P18" s="191">
        <f>'８　きく算出基礎'!G11</f>
        <v>6630</v>
      </c>
      <c r="Q18" s="659"/>
      <c r="R18" s="660"/>
      <c r="S18" s="661"/>
    </row>
    <row r="19" spans="1:19" s="104" customFormat="1" ht="18" customHeight="1" x14ac:dyDescent="0.15">
      <c r="A19" s="103"/>
      <c r="B19" s="633"/>
      <c r="C19" s="636"/>
      <c r="D19" s="207" t="s">
        <v>132</v>
      </c>
      <c r="E19" s="213"/>
      <c r="F19" s="207">
        <f>SUM(F6:F18)/99</f>
        <v>6117.1789225589227</v>
      </c>
      <c r="G19" s="217" t="s">
        <v>170</v>
      </c>
      <c r="H19" s="227">
        <v>0.01</v>
      </c>
      <c r="I19" s="404"/>
      <c r="J19" s="407"/>
      <c r="K19" s="686"/>
      <c r="L19" s="180" t="s">
        <v>134</v>
      </c>
      <c r="M19" s="189"/>
      <c r="N19" s="374" t="s">
        <v>316</v>
      </c>
      <c r="O19" s="193"/>
      <c r="P19" s="191">
        <f>'８　きく算出基礎'!G16</f>
        <v>36480</v>
      </c>
      <c r="Q19" s="659"/>
      <c r="R19" s="660"/>
      <c r="S19" s="661"/>
    </row>
    <row r="20" spans="1:19" s="104" customFormat="1" ht="18" customHeight="1" x14ac:dyDescent="0.15">
      <c r="A20" s="103"/>
      <c r="B20" s="633"/>
      <c r="C20" s="637"/>
      <c r="D20" s="630" t="s">
        <v>163</v>
      </c>
      <c r="E20" s="631"/>
      <c r="F20" s="138">
        <f>SUM(F6:F19)</f>
        <v>611717.89225589228</v>
      </c>
      <c r="G20" s="186"/>
      <c r="H20" s="118"/>
      <c r="I20" s="118"/>
      <c r="J20" s="121"/>
      <c r="K20" s="686"/>
      <c r="L20" s="180" t="s">
        <v>136</v>
      </c>
      <c r="M20" s="189"/>
      <c r="N20" s="374" t="s">
        <v>318</v>
      </c>
      <c r="O20" s="193"/>
      <c r="P20" s="191">
        <f>'８　きく算出基礎'!G20</f>
        <v>1230</v>
      </c>
      <c r="Q20" s="659"/>
      <c r="R20" s="660"/>
      <c r="S20" s="661"/>
    </row>
    <row r="21" spans="1:19" s="104" customFormat="1" ht="18" customHeight="1" x14ac:dyDescent="0.15">
      <c r="A21" s="103"/>
      <c r="B21" s="633"/>
      <c r="C21" s="638" t="s">
        <v>158</v>
      </c>
      <c r="D21" s="626" t="s">
        <v>54</v>
      </c>
      <c r="E21" s="19" t="s">
        <v>1</v>
      </c>
      <c r="F21" s="109">
        <v>50010</v>
      </c>
      <c r="G21" s="200" t="s">
        <v>449</v>
      </c>
      <c r="H21" s="189"/>
      <c r="I21" s="114"/>
      <c r="J21" s="215"/>
      <c r="K21" s="686"/>
      <c r="L21" s="180" t="s">
        <v>137</v>
      </c>
      <c r="M21" s="189"/>
      <c r="N21" s="374"/>
      <c r="O21" s="191"/>
      <c r="P21" s="191">
        <f>'８　きく算出基礎'!G24</f>
        <v>0</v>
      </c>
      <c r="Q21" s="659"/>
      <c r="R21" s="660"/>
      <c r="S21" s="661"/>
    </row>
    <row r="22" spans="1:19" s="104" customFormat="1" ht="18" customHeight="1" thickBot="1" x14ac:dyDescent="0.2">
      <c r="A22" s="103"/>
      <c r="B22" s="633"/>
      <c r="C22" s="639"/>
      <c r="D22" s="579"/>
      <c r="E22" s="19" t="s">
        <v>2</v>
      </c>
      <c r="F22" s="139">
        <f>+P11*2.1*1.08</f>
        <v>73823.400000000009</v>
      </c>
      <c r="G22" s="200" t="s">
        <v>438</v>
      </c>
      <c r="H22" s="218"/>
      <c r="I22" s="218"/>
      <c r="J22" s="219"/>
      <c r="K22" s="686"/>
      <c r="L22" s="117" t="s">
        <v>26</v>
      </c>
      <c r="M22" s="116"/>
      <c r="N22" s="117"/>
      <c r="O22" s="117"/>
      <c r="P22" s="117">
        <f>SUM(P17:P21)</f>
        <v>55740</v>
      </c>
      <c r="Q22" s="667"/>
      <c r="R22" s="668"/>
      <c r="S22" s="669"/>
    </row>
    <row r="23" spans="1:19" s="104" customFormat="1" ht="18" customHeight="1" thickTop="1" x14ac:dyDescent="0.15">
      <c r="A23" s="103"/>
      <c r="B23" s="633"/>
      <c r="C23" s="639"/>
      <c r="D23" s="627"/>
      <c r="E23" s="19" t="s">
        <v>6</v>
      </c>
      <c r="F23" s="109">
        <f>+R11*0.145</f>
        <v>264001.61599999998</v>
      </c>
      <c r="G23" s="200" t="s">
        <v>437</v>
      </c>
      <c r="H23" s="119"/>
      <c r="I23" s="218"/>
      <c r="J23" s="214"/>
      <c r="K23" s="686"/>
      <c r="L23" s="180" t="s">
        <v>130</v>
      </c>
      <c r="M23" s="189"/>
      <c r="N23" s="190" t="s">
        <v>23</v>
      </c>
      <c r="O23" s="190" t="s">
        <v>21</v>
      </c>
      <c r="P23" s="190" t="s">
        <v>24</v>
      </c>
      <c r="Q23" s="662" t="s">
        <v>25</v>
      </c>
      <c r="R23" s="663"/>
      <c r="S23" s="664"/>
    </row>
    <row r="24" spans="1:19" s="104" customFormat="1" ht="18" customHeight="1" x14ac:dyDescent="0.15">
      <c r="A24" s="103"/>
      <c r="B24" s="633"/>
      <c r="C24" s="639"/>
      <c r="D24" s="19" t="s">
        <v>237</v>
      </c>
      <c r="E24" s="26"/>
      <c r="F24" s="139">
        <v>2000</v>
      </c>
      <c r="G24" s="200"/>
      <c r="H24" s="221"/>
      <c r="I24" s="222"/>
      <c r="J24" s="220"/>
      <c r="K24" s="686"/>
      <c r="L24" s="191" t="s">
        <v>27</v>
      </c>
      <c r="M24" s="189"/>
      <c r="N24" s="374" t="s">
        <v>310</v>
      </c>
      <c r="O24" s="191"/>
      <c r="P24" s="191">
        <f>+'８　きく算出基礎'!G36</f>
        <v>24173</v>
      </c>
      <c r="Q24" s="659"/>
      <c r="R24" s="660"/>
      <c r="S24" s="661"/>
    </row>
    <row r="25" spans="1:19" s="104" customFormat="1" ht="18" customHeight="1" x14ac:dyDescent="0.15">
      <c r="A25" s="103"/>
      <c r="B25" s="633"/>
      <c r="C25" s="639"/>
      <c r="D25" s="19" t="s">
        <v>76</v>
      </c>
      <c r="E25" s="26"/>
      <c r="F25" s="139">
        <v>2000</v>
      </c>
      <c r="G25" s="200"/>
      <c r="H25" s="223"/>
      <c r="I25" s="224"/>
      <c r="J25" s="225"/>
      <c r="K25" s="686"/>
      <c r="L25" s="191" t="s">
        <v>28</v>
      </c>
      <c r="M25" s="189"/>
      <c r="N25" s="374" t="s">
        <v>311</v>
      </c>
      <c r="O25" s="191"/>
      <c r="P25" s="191">
        <f>+'８　きく算出基礎'!G51</f>
        <v>51655</v>
      </c>
      <c r="Q25" s="659"/>
      <c r="R25" s="660"/>
      <c r="S25" s="661"/>
    </row>
    <row r="26" spans="1:19" s="104" customFormat="1" ht="18" customHeight="1" x14ac:dyDescent="0.15">
      <c r="A26" s="103"/>
      <c r="B26" s="633"/>
      <c r="C26" s="639"/>
      <c r="D26" s="19" t="s">
        <v>98</v>
      </c>
      <c r="E26" s="20"/>
      <c r="F26" s="139">
        <f>'８　きく算出基礎'!V57</f>
        <v>11165</v>
      </c>
      <c r="G26" s="268"/>
      <c r="H26" s="266"/>
      <c r="I26" s="266"/>
      <c r="J26" s="267"/>
      <c r="K26" s="686"/>
      <c r="L26" s="191" t="s">
        <v>29</v>
      </c>
      <c r="M26" s="189"/>
      <c r="N26" s="374" t="s">
        <v>312</v>
      </c>
      <c r="O26" s="191"/>
      <c r="P26" s="191">
        <f>+'８　きく算出基礎'!G53</f>
        <v>17440</v>
      </c>
      <c r="Q26" s="659"/>
      <c r="R26" s="660"/>
      <c r="S26" s="661"/>
    </row>
    <row r="27" spans="1:19" s="104" customFormat="1" ht="18" customHeight="1" x14ac:dyDescent="0.15">
      <c r="A27" s="103"/>
      <c r="B27" s="633"/>
      <c r="C27" s="639"/>
      <c r="D27" s="27" t="s">
        <v>77</v>
      </c>
      <c r="E27" s="28"/>
      <c r="F27" s="226"/>
      <c r="G27" s="180"/>
      <c r="H27" s="223"/>
      <c r="I27" s="224"/>
      <c r="J27" s="220"/>
      <c r="K27" s="686"/>
      <c r="L27" s="191" t="s">
        <v>110</v>
      </c>
      <c r="M27" s="189"/>
      <c r="N27" s="374" t="s">
        <v>313</v>
      </c>
      <c r="O27" s="191"/>
      <c r="P27" s="191">
        <f>'８　きく算出基礎'!G57</f>
        <v>17301</v>
      </c>
      <c r="Q27" s="659"/>
      <c r="R27" s="660"/>
      <c r="S27" s="661"/>
    </row>
    <row r="28" spans="1:19" s="104" customFormat="1" ht="18" customHeight="1" thickBot="1" x14ac:dyDescent="0.2">
      <c r="A28" s="103"/>
      <c r="B28" s="633"/>
      <c r="C28" s="639"/>
      <c r="D28" s="19" t="s">
        <v>55</v>
      </c>
      <c r="E28" s="20"/>
      <c r="F28" s="139">
        <f>'８　きく算出基礎'!N57</f>
        <v>52375.019199999988</v>
      </c>
      <c r="G28" s="268"/>
      <c r="H28" s="266"/>
      <c r="I28" s="266"/>
      <c r="J28" s="267"/>
      <c r="K28" s="686"/>
      <c r="L28" s="117" t="s">
        <v>26</v>
      </c>
      <c r="M28" s="116"/>
      <c r="N28" s="117"/>
      <c r="O28" s="117"/>
      <c r="P28" s="117">
        <f>SUM(P24:P27)</f>
        <v>110569</v>
      </c>
      <c r="Q28" s="667"/>
      <c r="R28" s="668"/>
      <c r="S28" s="669"/>
    </row>
    <row r="29" spans="1:19" s="104" customFormat="1" ht="18" customHeight="1" thickTop="1" x14ac:dyDescent="0.15">
      <c r="A29" s="103"/>
      <c r="B29" s="633"/>
      <c r="C29" s="639"/>
      <c r="D29" s="19" t="s">
        <v>238</v>
      </c>
      <c r="E29" s="26"/>
      <c r="F29" s="139">
        <f>F30*0.01</f>
        <v>4553.750352</v>
      </c>
      <c r="G29" s="347" t="s">
        <v>255</v>
      </c>
      <c r="H29" s="227">
        <v>0.01</v>
      </c>
      <c r="I29" s="188"/>
      <c r="J29" s="187"/>
      <c r="K29" s="686"/>
      <c r="L29" s="180" t="s">
        <v>131</v>
      </c>
      <c r="M29" s="189"/>
      <c r="N29" s="190" t="s">
        <v>23</v>
      </c>
      <c r="O29" s="190" t="s">
        <v>21</v>
      </c>
      <c r="P29" s="190" t="s">
        <v>24</v>
      </c>
      <c r="Q29" s="662" t="s">
        <v>25</v>
      </c>
      <c r="R29" s="663"/>
      <c r="S29" s="664"/>
    </row>
    <row r="30" spans="1:19" s="104" customFormat="1" ht="18" customHeight="1" thickBot="1" x14ac:dyDescent="0.2">
      <c r="A30" s="103"/>
      <c r="B30" s="634"/>
      <c r="C30" s="640"/>
      <c r="D30" s="628" t="s">
        <v>162</v>
      </c>
      <c r="E30" s="629"/>
      <c r="F30" s="181">
        <f>SUM(F21:F28)</f>
        <v>455375.03519999998</v>
      </c>
      <c r="G30" s="182"/>
      <c r="H30" s="183"/>
      <c r="I30" s="184"/>
      <c r="J30" s="185"/>
      <c r="K30" s="686"/>
      <c r="L30" s="191" t="s">
        <v>121</v>
      </c>
      <c r="M30" s="192"/>
      <c r="N30" s="180"/>
      <c r="O30" s="193">
        <v>91.1</v>
      </c>
      <c r="P30" s="191">
        <f>'８　きく算出基礎'!N10</f>
        <v>508.20000000000005</v>
      </c>
      <c r="Q30" s="678"/>
      <c r="R30" s="679"/>
      <c r="S30" s="680"/>
    </row>
    <row r="31" spans="1:19" s="104" customFormat="1" ht="18" customHeight="1" x14ac:dyDescent="0.15">
      <c r="A31" s="103"/>
      <c r="B31" s="127"/>
      <c r="C31" s="123"/>
      <c r="D31" s="123"/>
      <c r="E31" s="123"/>
      <c r="F31" s="123"/>
      <c r="G31" s="123"/>
      <c r="H31" s="123"/>
      <c r="I31" s="123"/>
      <c r="J31" s="123"/>
      <c r="K31" s="686"/>
      <c r="L31" s="191" t="s">
        <v>122</v>
      </c>
      <c r="M31" s="192"/>
      <c r="N31" s="180"/>
      <c r="O31" s="193">
        <v>169.9</v>
      </c>
      <c r="P31" s="191">
        <f>'８　きく算出基礎'!N15</f>
        <v>13780.800000000001</v>
      </c>
      <c r="Q31" s="678"/>
      <c r="R31" s="679"/>
      <c r="S31" s="680"/>
    </row>
    <row r="32" spans="1:19" s="104" customFormat="1" ht="18" customHeight="1" x14ac:dyDescent="0.15">
      <c r="A32" s="103"/>
      <c r="B32" s="115"/>
      <c r="C32" s="133"/>
      <c r="D32" s="115"/>
      <c r="E32" s="115"/>
      <c r="F32" s="131"/>
      <c r="G32" s="131"/>
      <c r="H32" s="132"/>
      <c r="I32" s="123"/>
      <c r="J32" s="123"/>
      <c r="K32" s="686"/>
      <c r="L32" s="191" t="s">
        <v>124</v>
      </c>
      <c r="M32" s="189"/>
      <c r="N32" s="193"/>
      <c r="O32" s="193"/>
      <c r="P32" s="191">
        <f>SUM(P30:P31)*R32</f>
        <v>4286.7000000000007</v>
      </c>
      <c r="Q32" s="194" t="s">
        <v>123</v>
      </c>
      <c r="R32" s="195">
        <v>0.3</v>
      </c>
      <c r="S32" s="120"/>
    </row>
    <row r="33" spans="1:23" ht="18" customHeight="1" x14ac:dyDescent="0.15">
      <c r="K33" s="686"/>
      <c r="L33" s="191" t="s">
        <v>125</v>
      </c>
      <c r="M33" s="192"/>
      <c r="N33" s="180"/>
      <c r="O33" s="193">
        <v>179.9</v>
      </c>
      <c r="P33" s="191">
        <f>'８　きく算出基礎'!N19</f>
        <v>1212.48</v>
      </c>
      <c r="Q33" s="659"/>
      <c r="R33" s="660"/>
      <c r="S33" s="661"/>
    </row>
    <row r="34" spans="1:23" ht="18" customHeight="1" x14ac:dyDescent="0.15">
      <c r="K34" s="686"/>
      <c r="L34" s="191" t="s">
        <v>126</v>
      </c>
      <c r="M34" s="192"/>
      <c r="N34" s="180"/>
      <c r="O34" s="193"/>
      <c r="P34" s="191">
        <f>'８　きく算出基礎'!N23</f>
        <v>0</v>
      </c>
      <c r="Q34" s="659"/>
      <c r="R34" s="660"/>
      <c r="S34" s="661"/>
    </row>
    <row r="35" spans="1:23" ht="18" customHeight="1" x14ac:dyDescent="0.15">
      <c r="K35" s="686"/>
      <c r="L35" s="191" t="s">
        <v>235</v>
      </c>
      <c r="M35" s="192"/>
      <c r="N35" s="180"/>
      <c r="O35" s="193"/>
      <c r="P35" s="191">
        <f>'８　きく算出基礎'!N27</f>
        <v>0</v>
      </c>
      <c r="Q35" s="321"/>
      <c r="R35" s="322"/>
      <c r="S35" s="323"/>
    </row>
    <row r="36" spans="1:23" ht="18" customHeight="1" x14ac:dyDescent="0.15">
      <c r="K36" s="686"/>
      <c r="L36" s="191" t="s">
        <v>127</v>
      </c>
      <c r="M36" s="189"/>
      <c r="N36" s="180"/>
      <c r="O36" s="193"/>
      <c r="P36" s="191">
        <f>'８　きく算出基礎'!N31</f>
        <v>11272.800000000001</v>
      </c>
      <c r="Q36" s="659"/>
      <c r="R36" s="660"/>
      <c r="S36" s="661"/>
    </row>
    <row r="37" spans="1:23" ht="18" customHeight="1" thickBot="1" x14ac:dyDescent="0.2">
      <c r="K37" s="687"/>
      <c r="L37" s="129" t="s">
        <v>26</v>
      </c>
      <c r="M37" s="128"/>
      <c r="N37" s="129"/>
      <c r="O37" s="129"/>
      <c r="P37" s="129">
        <f>SUM(P30:P36)</f>
        <v>31060.980000000003</v>
      </c>
      <c r="Q37" s="675"/>
      <c r="R37" s="676"/>
      <c r="S37" s="677"/>
    </row>
    <row r="38" spans="1:23" s="122" customFormat="1" ht="18" customHeight="1" x14ac:dyDescent="0.15">
      <c r="A38" s="103"/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23" s="122" customFormat="1" ht="18" customHeight="1" x14ac:dyDescent="0.1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T39" s="123"/>
    </row>
    <row r="40" spans="1:23" s="122" customFormat="1" ht="18" customHeight="1" x14ac:dyDescent="0.1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T40" s="104"/>
      <c r="U40" s="104"/>
      <c r="V40" s="104"/>
      <c r="W40" s="104"/>
    </row>
    <row r="41" spans="1:23" s="122" customFormat="1" ht="18" customHeight="1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T41" s="124"/>
      <c r="U41" s="125"/>
      <c r="V41" s="126"/>
      <c r="W41" s="124"/>
    </row>
    <row r="42" spans="1:23" s="122" customFormat="1" ht="18" customHeight="1" x14ac:dyDescent="0.1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T42" s="104"/>
      <c r="U42" s="104"/>
      <c r="V42" s="104"/>
      <c r="W42" s="104"/>
    </row>
    <row r="43" spans="1:23" s="122" customFormat="1" ht="18" customHeight="1" x14ac:dyDescent="0.15">
      <c r="B43" s="103"/>
      <c r="C43" s="103"/>
      <c r="D43" s="103"/>
      <c r="E43" s="103"/>
      <c r="F43" s="103"/>
      <c r="G43" s="103"/>
      <c r="H43" s="103"/>
      <c r="I43" s="103"/>
      <c r="J43" s="103"/>
      <c r="T43" s="105"/>
      <c r="U43" s="123"/>
      <c r="V43" s="104"/>
      <c r="W43" s="124"/>
    </row>
    <row r="44" spans="1:23" s="122" customFormat="1" ht="18" customHeight="1" x14ac:dyDescent="0.15">
      <c r="B44" s="103"/>
      <c r="C44" s="103"/>
      <c r="D44" s="103"/>
      <c r="E44" s="103"/>
      <c r="F44" s="103"/>
      <c r="G44" s="103"/>
      <c r="H44" s="103"/>
      <c r="I44" s="103"/>
      <c r="J44" s="103"/>
      <c r="T44" s="105"/>
      <c r="U44" s="123"/>
      <c r="V44" s="104"/>
      <c r="W44" s="124"/>
    </row>
    <row r="45" spans="1:23" s="122" customFormat="1" ht="18" customHeight="1" x14ac:dyDescent="0.15">
      <c r="B45" s="103"/>
      <c r="C45" s="103"/>
      <c r="D45" s="103"/>
      <c r="E45" s="103"/>
      <c r="F45" s="103"/>
      <c r="G45" s="103"/>
      <c r="H45" s="103"/>
      <c r="I45" s="103"/>
      <c r="J45" s="103"/>
      <c r="T45" s="104"/>
      <c r="U45" s="104"/>
      <c r="V45" s="125"/>
      <c r="W45" s="104"/>
    </row>
    <row r="46" spans="1:23" s="122" customFormat="1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T46" s="105"/>
      <c r="U46" s="104"/>
      <c r="V46" s="104"/>
      <c r="W46" s="124"/>
    </row>
    <row r="47" spans="1:23" s="122" customFormat="1" x14ac:dyDescent="0.15">
      <c r="B47" s="103"/>
      <c r="C47" s="103"/>
      <c r="D47" s="103"/>
      <c r="E47" s="103"/>
      <c r="F47" s="103"/>
      <c r="G47" s="103"/>
      <c r="H47" s="103"/>
      <c r="I47" s="103"/>
      <c r="J47" s="103"/>
      <c r="T47" s="105"/>
      <c r="U47" s="104"/>
      <c r="V47" s="104"/>
      <c r="W47" s="124"/>
    </row>
    <row r="48" spans="1:23" s="122" customFormat="1" x14ac:dyDescent="0.15">
      <c r="B48" s="103"/>
      <c r="C48" s="103"/>
      <c r="D48" s="103"/>
      <c r="E48" s="103"/>
      <c r="F48" s="103"/>
      <c r="G48" s="103"/>
      <c r="H48" s="103"/>
      <c r="I48" s="103"/>
      <c r="J48" s="103"/>
      <c r="T48" s="105"/>
      <c r="U48" s="104"/>
      <c r="V48" s="104"/>
      <c r="W48" s="124"/>
    </row>
    <row r="49" spans="2:23" s="122" customFormat="1" x14ac:dyDescent="0.15">
      <c r="B49" s="103"/>
      <c r="C49" s="103"/>
      <c r="D49" s="103"/>
      <c r="E49" s="103"/>
      <c r="F49" s="103"/>
      <c r="G49" s="103"/>
      <c r="H49" s="103"/>
      <c r="I49" s="103"/>
      <c r="J49" s="103"/>
      <c r="T49" s="105"/>
      <c r="U49" s="104"/>
      <c r="V49" s="104"/>
      <c r="W49" s="124"/>
    </row>
    <row r="50" spans="2:23" s="122" customFormat="1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T50" s="105"/>
      <c r="U50" s="105"/>
      <c r="V50" s="105"/>
      <c r="W50" s="104"/>
    </row>
    <row r="51" spans="2:23" s="122" customFormat="1" ht="13.5" customHeight="1" x14ac:dyDescent="0.15">
      <c r="B51" s="103"/>
      <c r="C51" s="103"/>
      <c r="D51" s="103"/>
      <c r="E51" s="103"/>
      <c r="F51" s="103"/>
      <c r="G51" s="103"/>
      <c r="H51" s="103"/>
      <c r="I51" s="103"/>
      <c r="J51" s="103"/>
      <c r="T51" s="104"/>
      <c r="U51" s="104"/>
      <c r="V51" s="104"/>
      <c r="W51" s="125"/>
    </row>
    <row r="52" spans="2:23" s="122" customFormat="1" x14ac:dyDescent="0.15">
      <c r="B52" s="103"/>
      <c r="C52" s="103"/>
      <c r="D52" s="103"/>
      <c r="E52" s="103"/>
      <c r="F52" s="103"/>
      <c r="G52" s="103"/>
      <c r="H52" s="103"/>
      <c r="I52" s="103"/>
      <c r="J52" s="103"/>
      <c r="T52" s="124"/>
      <c r="U52" s="104"/>
      <c r="V52" s="125"/>
      <c r="W52" s="124"/>
    </row>
    <row r="53" spans="2:23" s="122" customFormat="1" x14ac:dyDescent="0.15">
      <c r="B53" s="103"/>
      <c r="C53" s="103"/>
      <c r="D53" s="103"/>
      <c r="E53" s="103"/>
      <c r="F53" s="103"/>
      <c r="G53" s="103"/>
      <c r="H53" s="103"/>
      <c r="I53" s="103"/>
      <c r="J53" s="103"/>
      <c r="T53" s="104"/>
      <c r="U53" s="104"/>
      <c r="V53" s="104"/>
      <c r="W53" s="104"/>
    </row>
    <row r="54" spans="2:23" s="122" customFormat="1" ht="13.5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T54" s="105"/>
      <c r="U54" s="104"/>
      <c r="V54" s="105"/>
      <c r="W54" s="124"/>
    </row>
    <row r="55" spans="2:23" s="122" customFormat="1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T55" s="134"/>
      <c r="U55" s="104"/>
      <c r="V55" s="104"/>
      <c r="W55" s="124"/>
    </row>
    <row r="56" spans="2:23" s="122" customFormat="1" x14ac:dyDescent="0.1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05"/>
      <c r="V56" s="104"/>
      <c r="W56" s="104"/>
    </row>
    <row r="57" spans="2:23" s="122" customFormat="1" x14ac:dyDescent="0.1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23"/>
      <c r="U57" s="123"/>
      <c r="V57" s="123"/>
      <c r="W57" s="123"/>
    </row>
    <row r="58" spans="2:23" s="122" customFormat="1" x14ac:dyDescent="0.1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23"/>
    </row>
    <row r="59" spans="2:23" s="122" customFormat="1" x14ac:dyDescent="0.1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23"/>
    </row>
    <row r="60" spans="2:23" s="122" customFormat="1" x14ac:dyDescent="0.1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23"/>
    </row>
    <row r="61" spans="2:23" s="122" customFormat="1" x14ac:dyDescent="0.1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pans="2:23" s="122" customFormat="1" x14ac:dyDescent="0.1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spans="2:23" s="122" customFormat="1" ht="13.5" customHeight="1" x14ac:dyDescent="0.1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2:23" s="122" customFormat="1" ht="13.5" customHeight="1" x14ac:dyDescent="0.1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2:19" s="122" customFormat="1" x14ac:dyDescent="0.15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</row>
    <row r="66" spans="2:19" s="122" customFormat="1" x14ac:dyDescent="0.15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</row>
    <row r="67" spans="2:19" s="122" customFormat="1" x14ac:dyDescent="0.15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</row>
    <row r="68" spans="2:19" s="122" customFormat="1" ht="13.5" customHeight="1" x14ac:dyDescent="0.15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2:19" s="122" customFormat="1" x14ac:dyDescent="0.15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</row>
    <row r="70" spans="2:19" s="122" customForma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</row>
    <row r="71" spans="2:19" s="122" customForma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</row>
    <row r="72" spans="2:19" s="122" customForma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</row>
    <row r="73" spans="2:19" s="122" customForma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</row>
    <row r="74" spans="2:19" s="122" customFormat="1" ht="13.5" customHeigh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</row>
    <row r="75" spans="2:19" s="122" customFormat="1" x14ac:dyDescent="0.15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</row>
    <row r="76" spans="2:19" s="122" customFormat="1" x14ac:dyDescent="0.15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</row>
    <row r="77" spans="2:19" s="122" customFormat="1" x14ac:dyDescent="0.15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</row>
    <row r="78" spans="2:19" s="122" customFormat="1" x14ac:dyDescent="0.15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</row>
    <row r="79" spans="2:19" s="122" customFormat="1" x14ac:dyDescent="0.15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</row>
    <row r="80" spans="2:19" s="122" customFormat="1" x14ac:dyDescent="0.15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  <row r="81" spans="1:19" s="122" customFormat="1" x14ac:dyDescent="0.15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</row>
    <row r="82" spans="1:19" s="122" customFormat="1" x14ac:dyDescent="0.15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</row>
    <row r="83" spans="1:19" s="122" customFormat="1" x14ac:dyDescent="0.15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</row>
    <row r="84" spans="1:19" s="122" customFormat="1" x14ac:dyDescent="0.15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</row>
    <row r="85" spans="1:19" s="122" customFormat="1" x14ac:dyDescent="0.15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  <row r="86" spans="1:19" s="122" customFormat="1" ht="13.5" customHeight="1" x14ac:dyDescent="0.15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</row>
    <row r="87" spans="1:19" s="122" customFormat="1" x14ac:dyDescent="0.15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</row>
    <row r="88" spans="1:19" s="122" customFormat="1" x14ac:dyDescent="0.15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</row>
    <row r="89" spans="1:19" s="122" customFormat="1" ht="13.5" customHeight="1" x14ac:dyDescent="0.15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</row>
    <row r="90" spans="1:19" s="122" customFormat="1" x14ac:dyDescent="0.15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</row>
    <row r="91" spans="1:19" s="122" customFormat="1" x14ac:dyDescent="0.15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</row>
    <row r="92" spans="1:19" s="122" customFormat="1" x14ac:dyDescent="0.15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</row>
    <row r="93" spans="1:19" s="122" customFormat="1" x14ac:dyDescent="0.15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</row>
    <row r="94" spans="1:19" s="122" customFormat="1" x14ac:dyDescent="0.15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</row>
    <row r="95" spans="1:19" x14ac:dyDescent="0.15">
      <c r="A95" s="122"/>
    </row>
    <row r="96" spans="1:19" x14ac:dyDescent="0.15">
      <c r="A96" s="122"/>
    </row>
    <row r="97" spans="1:1" x14ac:dyDescent="0.15">
      <c r="A97" s="122"/>
    </row>
    <row r="98" spans="1:1" x14ac:dyDescent="0.15">
      <c r="A98" s="122"/>
    </row>
    <row r="99" spans="1:1" x14ac:dyDescent="0.15">
      <c r="A99" s="122"/>
    </row>
  </sheetData>
  <mergeCells count="49"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B4:C5"/>
    <mergeCell ref="B3:E3"/>
    <mergeCell ref="K3:S3"/>
    <mergeCell ref="R6:S6"/>
    <mergeCell ref="R7:S7"/>
    <mergeCell ref="G4:J4"/>
    <mergeCell ref="D21:D23"/>
    <mergeCell ref="D30:E30"/>
    <mergeCell ref="D20:E20"/>
    <mergeCell ref="B6:B30"/>
    <mergeCell ref="C6:C20"/>
    <mergeCell ref="C21:C30"/>
    <mergeCell ref="D13:D14"/>
    <mergeCell ref="D15:D17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100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69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35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314</v>
      </c>
      <c r="C2" s="32"/>
      <c r="D2" s="5"/>
      <c r="E2" s="5"/>
      <c r="F2" s="32"/>
      <c r="G2" s="104"/>
      <c r="H2" s="114"/>
      <c r="I2" s="104"/>
      <c r="J2" s="104"/>
      <c r="K2" s="104"/>
      <c r="L2" s="104"/>
      <c r="M2" s="104"/>
      <c r="N2" s="104"/>
      <c r="O2" s="5"/>
    </row>
    <row r="3" spans="2:22" ht="15.2" customHeight="1" thickBot="1" x14ac:dyDescent="0.2">
      <c r="B3" s="30" t="s">
        <v>165</v>
      </c>
      <c r="I3" s="5" t="s">
        <v>166</v>
      </c>
      <c r="P3" s="169" t="s">
        <v>185</v>
      </c>
    </row>
    <row r="4" spans="2:22" ht="15.2" customHeight="1" x14ac:dyDescent="0.15">
      <c r="B4" s="245" t="s">
        <v>72</v>
      </c>
      <c r="C4" s="155" t="s">
        <v>141</v>
      </c>
      <c r="D4" s="155" t="s">
        <v>112</v>
      </c>
      <c r="E4" s="155" t="s">
        <v>113</v>
      </c>
      <c r="F4" s="155" t="s">
        <v>21</v>
      </c>
      <c r="G4" s="143" t="s">
        <v>114</v>
      </c>
      <c r="H4" s="156"/>
      <c r="I4" s="731" t="s">
        <v>72</v>
      </c>
      <c r="J4" s="727" t="s">
        <v>144</v>
      </c>
      <c r="K4" s="161" t="s">
        <v>348</v>
      </c>
      <c r="L4" s="161" t="s">
        <v>115</v>
      </c>
      <c r="M4" s="727" t="s">
        <v>21</v>
      </c>
      <c r="N4" s="729" t="s">
        <v>114</v>
      </c>
      <c r="O4" s="179"/>
      <c r="P4" s="246" t="s">
        <v>147</v>
      </c>
      <c r="Q4" s="247" t="s">
        <v>148</v>
      </c>
      <c r="R4" s="247" t="s">
        <v>149</v>
      </c>
      <c r="S4" s="247" t="s">
        <v>150</v>
      </c>
      <c r="T4" s="733" t="s">
        <v>151</v>
      </c>
      <c r="U4" s="648"/>
      <c r="V4" s="248" t="s">
        <v>152</v>
      </c>
    </row>
    <row r="5" spans="2:22" ht="15.2" customHeight="1" x14ac:dyDescent="0.15">
      <c r="B5" s="617" t="s">
        <v>135</v>
      </c>
      <c r="C5" s="29" t="s">
        <v>498</v>
      </c>
      <c r="D5" s="29">
        <v>3</v>
      </c>
      <c r="E5" s="36" t="s">
        <v>139</v>
      </c>
      <c r="F5" s="29">
        <v>3800</v>
      </c>
      <c r="G5" s="144">
        <f t="shared" ref="G5:G6" si="0">D5*F5</f>
        <v>11400</v>
      </c>
      <c r="H5" s="157"/>
      <c r="I5" s="732"/>
      <c r="J5" s="728"/>
      <c r="K5" s="163" t="s">
        <v>116</v>
      </c>
      <c r="L5" s="163" t="s">
        <v>347</v>
      </c>
      <c r="M5" s="728"/>
      <c r="N5" s="730"/>
      <c r="O5" s="179"/>
      <c r="P5" s="249" t="s">
        <v>319</v>
      </c>
      <c r="Q5" s="375">
        <v>1.7</v>
      </c>
      <c r="R5" s="177" t="s">
        <v>329</v>
      </c>
      <c r="S5" s="141">
        <v>4320</v>
      </c>
      <c r="T5" s="723">
        <v>1</v>
      </c>
      <c r="U5" s="724"/>
      <c r="V5" s="172">
        <f>Q5*S5/T5</f>
        <v>7344</v>
      </c>
    </row>
    <row r="6" spans="2:22" ht="15.2" customHeight="1" x14ac:dyDescent="0.15">
      <c r="B6" s="618"/>
      <c r="C6" s="29"/>
      <c r="D6" s="29"/>
      <c r="E6" s="36"/>
      <c r="F6" s="29"/>
      <c r="G6" s="145">
        <f t="shared" si="0"/>
        <v>0</v>
      </c>
      <c r="H6" s="157"/>
      <c r="I6" s="734" t="s">
        <v>143</v>
      </c>
      <c r="J6" s="29" t="s">
        <v>344</v>
      </c>
      <c r="K6" s="164">
        <v>2</v>
      </c>
      <c r="L6" s="164">
        <v>6</v>
      </c>
      <c r="M6" s="164">
        <v>84.7</v>
      </c>
      <c r="N6" s="145">
        <f>+L6*M6</f>
        <v>508.20000000000005</v>
      </c>
      <c r="O6" s="179"/>
      <c r="P6" s="249" t="s">
        <v>320</v>
      </c>
      <c r="Q6" s="375">
        <v>1.7</v>
      </c>
      <c r="R6" s="177" t="s">
        <v>330</v>
      </c>
      <c r="S6" s="141">
        <v>6700</v>
      </c>
      <c r="T6" s="723">
        <v>1</v>
      </c>
      <c r="U6" s="724"/>
      <c r="V6" s="172">
        <f t="shared" ref="V6:V9" si="1">Q6*S6/T6</f>
        <v>11390</v>
      </c>
    </row>
    <row r="7" spans="2:22" ht="15.2" customHeight="1" thickBot="1" x14ac:dyDescent="0.2">
      <c r="B7" s="718"/>
      <c r="C7" s="146" t="s">
        <v>117</v>
      </c>
      <c r="D7" s="146"/>
      <c r="E7" s="146"/>
      <c r="F7" s="146"/>
      <c r="G7" s="147">
        <f>SUM(G5:G6)</f>
        <v>11400</v>
      </c>
      <c r="H7" s="157"/>
      <c r="I7" s="618"/>
      <c r="J7" s="29"/>
      <c r="K7" s="164"/>
      <c r="L7" s="164"/>
      <c r="M7" s="164"/>
      <c r="N7" s="145"/>
      <c r="O7" s="179"/>
      <c r="P7" s="249" t="s">
        <v>384</v>
      </c>
      <c r="Q7" s="375">
        <v>70</v>
      </c>
      <c r="R7" s="177" t="s">
        <v>331</v>
      </c>
      <c r="S7" s="141">
        <v>490</v>
      </c>
      <c r="T7" s="723">
        <v>5</v>
      </c>
      <c r="U7" s="724"/>
      <c r="V7" s="172">
        <f t="shared" si="1"/>
        <v>6860</v>
      </c>
    </row>
    <row r="8" spans="2:22" ht="15.2" customHeight="1" thickTop="1" x14ac:dyDescent="0.15">
      <c r="B8" s="716" t="s">
        <v>133</v>
      </c>
      <c r="C8" s="29" t="s">
        <v>495</v>
      </c>
      <c r="D8" s="29">
        <v>7</v>
      </c>
      <c r="E8" s="36" t="s">
        <v>309</v>
      </c>
      <c r="F8" s="29">
        <v>680</v>
      </c>
      <c r="G8" s="145">
        <f>D8*F8</f>
        <v>4760</v>
      </c>
      <c r="H8" s="157"/>
      <c r="I8" s="618"/>
      <c r="J8" s="29"/>
      <c r="K8" s="164"/>
      <c r="L8" s="164"/>
      <c r="M8" s="164"/>
      <c r="N8" s="145">
        <f t="shared" ref="N8:N9" si="2">K8*L8*M8</f>
        <v>0</v>
      </c>
      <c r="O8" s="179"/>
      <c r="P8" s="249" t="s">
        <v>321</v>
      </c>
      <c r="Q8" s="375">
        <v>630</v>
      </c>
      <c r="R8" s="177" t="s">
        <v>331</v>
      </c>
      <c r="S8" s="141">
        <v>540</v>
      </c>
      <c r="T8" s="723">
        <v>8</v>
      </c>
      <c r="U8" s="724"/>
      <c r="V8" s="172">
        <f t="shared" si="1"/>
        <v>42525</v>
      </c>
    </row>
    <row r="9" spans="2:22" ht="15.2" customHeight="1" x14ac:dyDescent="0.15">
      <c r="B9" s="618"/>
      <c r="C9" s="29" t="s">
        <v>496</v>
      </c>
      <c r="D9" s="29">
        <v>1</v>
      </c>
      <c r="E9" s="36" t="s">
        <v>315</v>
      </c>
      <c r="F9" s="29">
        <v>1870</v>
      </c>
      <c r="G9" s="145">
        <f>D9*F9</f>
        <v>1870</v>
      </c>
      <c r="H9" s="157"/>
      <c r="I9" s="618"/>
      <c r="J9" s="29"/>
      <c r="K9" s="164"/>
      <c r="L9" s="164"/>
      <c r="M9" s="164"/>
      <c r="N9" s="145">
        <f t="shared" si="2"/>
        <v>0</v>
      </c>
      <c r="O9" s="179"/>
      <c r="P9" s="249" t="s">
        <v>322</v>
      </c>
      <c r="Q9" s="375">
        <v>13.2</v>
      </c>
      <c r="R9" s="177" t="s">
        <v>332</v>
      </c>
      <c r="S9" s="141">
        <v>4320</v>
      </c>
      <c r="T9" s="723">
        <v>5</v>
      </c>
      <c r="U9" s="724"/>
      <c r="V9" s="172">
        <f t="shared" si="1"/>
        <v>11404.8</v>
      </c>
    </row>
    <row r="10" spans="2:22" ht="15.2" customHeight="1" thickBot="1" x14ac:dyDescent="0.2">
      <c r="B10" s="618"/>
      <c r="C10" s="29"/>
      <c r="D10" s="29"/>
      <c r="E10" s="36"/>
      <c r="F10" s="29"/>
      <c r="G10" s="145">
        <f>D10*F10</f>
        <v>0</v>
      </c>
      <c r="H10" s="157"/>
      <c r="I10" s="718"/>
      <c r="J10" s="250" t="s">
        <v>189</v>
      </c>
      <c r="K10" s="165">
        <f t="shared" ref="K10:L10" si="3">SUM(K6:K9)</f>
        <v>2</v>
      </c>
      <c r="L10" s="165">
        <f t="shared" si="3"/>
        <v>6</v>
      </c>
      <c r="M10" s="165"/>
      <c r="N10" s="160">
        <f>SUM(N6:N9)</f>
        <v>508.20000000000005</v>
      </c>
      <c r="O10" s="179"/>
      <c r="P10" s="249" t="s">
        <v>323</v>
      </c>
      <c r="Q10" s="375">
        <v>1.1000000000000001</v>
      </c>
      <c r="R10" s="362" t="s">
        <v>333</v>
      </c>
      <c r="S10" s="141">
        <v>3570</v>
      </c>
      <c r="T10" s="721">
        <v>5</v>
      </c>
      <c r="U10" s="722"/>
      <c r="V10" s="172">
        <f t="shared" ref="V10:V19" si="4">Q10*S10/T10</f>
        <v>785.40000000000009</v>
      </c>
    </row>
    <row r="11" spans="2:22" ht="15.2" customHeight="1" thickTop="1" thickBot="1" x14ac:dyDescent="0.2">
      <c r="B11" s="718"/>
      <c r="C11" s="148" t="s">
        <v>118</v>
      </c>
      <c r="D11" s="149"/>
      <c r="E11" s="149"/>
      <c r="F11" s="149"/>
      <c r="G11" s="150">
        <f>SUM(G8:G10)</f>
        <v>6630</v>
      </c>
      <c r="H11" s="157"/>
      <c r="I11" s="716" t="s">
        <v>190</v>
      </c>
      <c r="J11" s="29" t="s">
        <v>343</v>
      </c>
      <c r="K11" s="164">
        <v>22</v>
      </c>
      <c r="L11" s="164">
        <v>43</v>
      </c>
      <c r="M11" s="164">
        <v>158.4</v>
      </c>
      <c r="N11" s="145">
        <f>+L11*M11</f>
        <v>6811.2</v>
      </c>
      <c r="O11" s="179"/>
      <c r="P11" s="249" t="s">
        <v>324</v>
      </c>
      <c r="Q11" s="375">
        <v>37</v>
      </c>
      <c r="R11" s="362" t="s">
        <v>334</v>
      </c>
      <c r="S11" s="141">
        <v>110</v>
      </c>
      <c r="T11" s="721">
        <v>5</v>
      </c>
      <c r="U11" s="722"/>
      <c r="V11" s="172">
        <f t="shared" si="4"/>
        <v>814</v>
      </c>
    </row>
    <row r="12" spans="2:22" ht="15.2" customHeight="1" thickTop="1" x14ac:dyDescent="0.15">
      <c r="B12" s="716" t="s">
        <v>134</v>
      </c>
      <c r="C12" s="29" t="s">
        <v>497</v>
      </c>
      <c r="D12" s="29">
        <v>12</v>
      </c>
      <c r="E12" s="36" t="s">
        <v>315</v>
      </c>
      <c r="F12" s="29">
        <v>3040</v>
      </c>
      <c r="G12" s="145">
        <f>D12*F12</f>
        <v>36480</v>
      </c>
      <c r="H12" s="157"/>
      <c r="I12" s="618"/>
      <c r="J12" s="29" t="s">
        <v>399</v>
      </c>
      <c r="K12" s="164">
        <v>35</v>
      </c>
      <c r="L12" s="164">
        <v>37</v>
      </c>
      <c r="M12" s="164">
        <v>158.4</v>
      </c>
      <c r="N12" s="145">
        <f t="shared" ref="N12:N14" si="5">+L12*M12</f>
        <v>5860.8</v>
      </c>
      <c r="O12" s="179"/>
      <c r="P12" s="249" t="s">
        <v>325</v>
      </c>
      <c r="Q12" s="375">
        <v>3.4</v>
      </c>
      <c r="R12" s="362" t="s">
        <v>332</v>
      </c>
      <c r="S12" s="141">
        <v>15450</v>
      </c>
      <c r="T12" s="721">
        <v>10</v>
      </c>
      <c r="U12" s="722"/>
      <c r="V12" s="172">
        <f t="shared" si="4"/>
        <v>5253</v>
      </c>
    </row>
    <row r="13" spans="2:22" ht="15.2" customHeight="1" x14ac:dyDescent="0.15">
      <c r="B13" s="618"/>
      <c r="C13" s="29"/>
      <c r="D13" s="29"/>
      <c r="E13" s="36"/>
      <c r="F13" s="29"/>
      <c r="G13" s="145">
        <f>D13*F13</f>
        <v>0</v>
      </c>
      <c r="H13" s="157"/>
      <c r="I13" s="618"/>
      <c r="J13" s="29" t="s">
        <v>400</v>
      </c>
      <c r="K13" s="164">
        <v>4</v>
      </c>
      <c r="L13" s="164">
        <v>3</v>
      </c>
      <c r="M13" s="164">
        <v>158.4</v>
      </c>
      <c r="N13" s="145">
        <f t="shared" si="5"/>
        <v>475.20000000000005</v>
      </c>
      <c r="O13" s="179"/>
      <c r="P13" s="249" t="s">
        <v>326</v>
      </c>
      <c r="Q13" s="375">
        <v>440</v>
      </c>
      <c r="R13" s="362" t="s">
        <v>335</v>
      </c>
      <c r="S13" s="141">
        <v>95</v>
      </c>
      <c r="T13" s="721">
        <v>10</v>
      </c>
      <c r="U13" s="722"/>
      <c r="V13" s="172">
        <f t="shared" si="4"/>
        <v>4180</v>
      </c>
    </row>
    <row r="14" spans="2:22" ht="15.2" customHeight="1" x14ac:dyDescent="0.15">
      <c r="B14" s="618"/>
      <c r="C14" s="29"/>
      <c r="D14" s="29"/>
      <c r="E14" s="36"/>
      <c r="F14" s="29"/>
      <c r="G14" s="145">
        <f>D14*F14</f>
        <v>0</v>
      </c>
      <c r="H14" s="157"/>
      <c r="I14" s="618"/>
      <c r="J14" s="29" t="s">
        <v>401</v>
      </c>
      <c r="K14" s="164">
        <v>2</v>
      </c>
      <c r="L14" s="164">
        <v>4</v>
      </c>
      <c r="M14" s="164">
        <v>158.4</v>
      </c>
      <c r="N14" s="145">
        <f t="shared" si="5"/>
        <v>633.6</v>
      </c>
      <c r="O14" s="179"/>
      <c r="P14" s="249" t="s">
        <v>327</v>
      </c>
      <c r="Q14" s="375">
        <v>2.2000000000000002</v>
      </c>
      <c r="R14" s="362" t="s">
        <v>336</v>
      </c>
      <c r="S14" s="141">
        <v>5620</v>
      </c>
      <c r="T14" s="721">
        <v>1</v>
      </c>
      <c r="U14" s="722"/>
      <c r="V14" s="172">
        <f t="shared" si="4"/>
        <v>12364.000000000002</v>
      </c>
    </row>
    <row r="15" spans="2:22" ht="15.2" customHeight="1" thickBot="1" x14ac:dyDescent="0.2">
      <c r="B15" s="618"/>
      <c r="C15" s="29"/>
      <c r="D15" s="29"/>
      <c r="E15" s="29"/>
      <c r="F15" s="29"/>
      <c r="G15" s="145">
        <f t="shared" ref="G15" si="6">D15*F15</f>
        <v>0</v>
      </c>
      <c r="H15" s="157"/>
      <c r="I15" s="718"/>
      <c r="J15" s="250" t="s">
        <v>189</v>
      </c>
      <c r="K15" s="165">
        <f t="shared" ref="K15" si="7">SUM(K11:K14)</f>
        <v>63</v>
      </c>
      <c r="L15" s="165">
        <f t="shared" ref="L15" si="8">SUM(L11:L14)</f>
        <v>87</v>
      </c>
      <c r="M15" s="165"/>
      <c r="N15" s="160">
        <f>SUM(N11:N14)</f>
        <v>13780.800000000001</v>
      </c>
      <c r="O15" s="179"/>
      <c r="P15" s="249" t="s">
        <v>328</v>
      </c>
      <c r="Q15" s="375">
        <v>10</v>
      </c>
      <c r="R15" s="362" t="s">
        <v>334</v>
      </c>
      <c r="S15" s="141">
        <v>860</v>
      </c>
      <c r="T15" s="723">
        <v>8</v>
      </c>
      <c r="U15" s="724"/>
      <c r="V15" s="172">
        <f t="shared" si="4"/>
        <v>1075</v>
      </c>
    </row>
    <row r="16" spans="2:22" ht="15.2" customHeight="1" thickTop="1" thickBot="1" x14ac:dyDescent="0.2">
      <c r="B16" s="718"/>
      <c r="C16" s="148" t="s">
        <v>118</v>
      </c>
      <c r="D16" s="149"/>
      <c r="E16" s="149"/>
      <c r="F16" s="149"/>
      <c r="G16" s="150">
        <f>SUM(G12:G15)</f>
        <v>36480</v>
      </c>
      <c r="H16" s="157"/>
      <c r="I16" s="716" t="s">
        <v>145</v>
      </c>
      <c r="J16" s="29" t="s">
        <v>342</v>
      </c>
      <c r="K16" s="164">
        <v>18</v>
      </c>
      <c r="L16" s="164">
        <v>7.2</v>
      </c>
      <c r="M16" s="164">
        <v>168.4</v>
      </c>
      <c r="N16" s="145">
        <f>+L16*M16</f>
        <v>1212.48</v>
      </c>
      <c r="O16" s="179"/>
      <c r="P16" s="249" t="s">
        <v>337</v>
      </c>
      <c r="Q16" s="141">
        <v>1</v>
      </c>
      <c r="R16" s="320" t="s">
        <v>338</v>
      </c>
      <c r="S16" s="141">
        <v>13400</v>
      </c>
      <c r="T16" s="723">
        <v>3</v>
      </c>
      <c r="U16" s="724"/>
      <c r="V16" s="172">
        <f t="shared" si="4"/>
        <v>4466.666666666667</v>
      </c>
    </row>
    <row r="17" spans="2:22" ht="15.2" customHeight="1" thickTop="1" x14ac:dyDescent="0.15">
      <c r="B17" s="716" t="s">
        <v>136</v>
      </c>
      <c r="C17" s="29" t="s">
        <v>498</v>
      </c>
      <c r="D17" s="59">
        <v>0.6</v>
      </c>
      <c r="E17" s="36" t="s">
        <v>119</v>
      </c>
      <c r="F17" s="29">
        <v>2050</v>
      </c>
      <c r="G17" s="145">
        <f t="shared" ref="G17" si="9">D17*F17</f>
        <v>1230</v>
      </c>
      <c r="H17" s="157"/>
      <c r="I17" s="618"/>
      <c r="J17" s="29"/>
      <c r="K17" s="164"/>
      <c r="L17" s="164"/>
      <c r="M17" s="164"/>
      <c r="N17" s="145">
        <f t="shared" ref="N17:N18" si="10">K17*L17*M17</f>
        <v>0</v>
      </c>
      <c r="O17" s="179"/>
      <c r="P17" s="249" t="s">
        <v>339</v>
      </c>
      <c r="Q17" s="375">
        <v>0.33</v>
      </c>
      <c r="R17" s="320" t="s">
        <v>332</v>
      </c>
      <c r="S17" s="141">
        <v>18150</v>
      </c>
      <c r="T17" s="723">
        <v>6</v>
      </c>
      <c r="U17" s="724"/>
      <c r="V17" s="172">
        <f t="shared" si="4"/>
        <v>998.25</v>
      </c>
    </row>
    <row r="18" spans="2:22" ht="15.2" customHeight="1" x14ac:dyDescent="0.15">
      <c r="B18" s="618"/>
      <c r="C18" s="29"/>
      <c r="D18" s="29"/>
      <c r="E18" s="36"/>
      <c r="F18" s="29"/>
      <c r="G18" s="145">
        <f>D18*F18</f>
        <v>0</v>
      </c>
      <c r="H18" s="157"/>
      <c r="I18" s="618"/>
      <c r="J18" s="29"/>
      <c r="K18" s="164"/>
      <c r="L18" s="164"/>
      <c r="M18" s="164"/>
      <c r="N18" s="145">
        <f t="shared" si="10"/>
        <v>0</v>
      </c>
      <c r="O18" s="179"/>
      <c r="P18" s="249" t="s">
        <v>341</v>
      </c>
      <c r="Q18" s="375">
        <v>34</v>
      </c>
      <c r="R18" s="367" t="s">
        <v>335</v>
      </c>
      <c r="S18" s="141">
        <v>95</v>
      </c>
      <c r="T18" s="723">
        <v>8</v>
      </c>
      <c r="U18" s="724"/>
      <c r="V18" s="172">
        <f t="shared" si="4"/>
        <v>403.75</v>
      </c>
    </row>
    <row r="19" spans="2:22" ht="15.2" customHeight="1" thickBot="1" x14ac:dyDescent="0.2">
      <c r="B19" s="618"/>
      <c r="C19" s="29"/>
      <c r="D19" s="29"/>
      <c r="E19" s="29"/>
      <c r="F19" s="29"/>
      <c r="G19" s="145">
        <f t="shared" ref="G19" si="11">D19*F19</f>
        <v>0</v>
      </c>
      <c r="H19" s="157"/>
      <c r="I19" s="718"/>
      <c r="J19" s="250" t="s">
        <v>191</v>
      </c>
      <c r="K19" s="165">
        <f>SUM(K16:K18)</f>
        <v>18</v>
      </c>
      <c r="L19" s="166">
        <f>SUM(L16:L18)</f>
        <v>7.2</v>
      </c>
      <c r="M19" s="167"/>
      <c r="N19" s="160">
        <f>SUM(N16:N18)</f>
        <v>1212.48</v>
      </c>
      <c r="O19" s="179"/>
      <c r="P19" s="249" t="s">
        <v>340</v>
      </c>
      <c r="Q19" s="375">
        <v>1.6</v>
      </c>
      <c r="R19" s="177" t="s">
        <v>383</v>
      </c>
      <c r="S19" s="141">
        <v>4320</v>
      </c>
      <c r="T19" s="723">
        <v>8</v>
      </c>
      <c r="U19" s="724"/>
      <c r="V19" s="172">
        <f t="shared" si="4"/>
        <v>864</v>
      </c>
    </row>
    <row r="20" spans="2:22" ht="15.2" customHeight="1" thickTop="1" thickBot="1" x14ac:dyDescent="0.2">
      <c r="B20" s="718"/>
      <c r="C20" s="148" t="s">
        <v>118</v>
      </c>
      <c r="D20" s="149"/>
      <c r="E20" s="149"/>
      <c r="F20" s="149"/>
      <c r="G20" s="150">
        <f>SUM(G17:G19)</f>
        <v>1230</v>
      </c>
      <c r="H20" s="157"/>
      <c r="I20" s="716" t="s">
        <v>146</v>
      </c>
      <c r="J20" s="29"/>
      <c r="K20" s="164"/>
      <c r="L20" s="164"/>
      <c r="M20" s="164"/>
      <c r="N20" s="145">
        <f>K20*L20*M20</f>
        <v>0</v>
      </c>
      <c r="O20" s="179"/>
      <c r="P20" s="173" t="s">
        <v>26</v>
      </c>
      <c r="Q20" s="174"/>
      <c r="R20" s="174"/>
      <c r="S20" s="174"/>
      <c r="T20" s="725"/>
      <c r="U20" s="726"/>
      <c r="V20" s="175">
        <f>SUM(V5:V19)</f>
        <v>110727.86666666667</v>
      </c>
    </row>
    <row r="21" spans="2:22" ht="15.2" customHeight="1" thickTop="1" x14ac:dyDescent="0.15">
      <c r="B21" s="716" t="s">
        <v>137</v>
      </c>
      <c r="C21" s="29"/>
      <c r="D21" s="29"/>
      <c r="E21" s="36"/>
      <c r="F21" s="29"/>
      <c r="G21" s="145">
        <f>D21*F21</f>
        <v>0</v>
      </c>
      <c r="H21" s="157"/>
      <c r="I21" s="618"/>
      <c r="J21" s="29"/>
      <c r="K21" s="164"/>
      <c r="L21" s="164"/>
      <c r="M21" s="164"/>
      <c r="N21" s="145">
        <f t="shared" ref="N21:N22" si="12">K21*L21*M21</f>
        <v>0</v>
      </c>
      <c r="O21" s="179"/>
    </row>
    <row r="22" spans="2:22" ht="15.2" customHeight="1" thickBot="1" x14ac:dyDescent="0.2">
      <c r="B22" s="618"/>
      <c r="C22" s="29"/>
      <c r="D22" s="29"/>
      <c r="E22" s="36"/>
      <c r="F22" s="29"/>
      <c r="G22" s="145">
        <f>D22*F22</f>
        <v>0</v>
      </c>
      <c r="H22" s="157"/>
      <c r="I22" s="618"/>
      <c r="J22" s="29"/>
      <c r="K22" s="164"/>
      <c r="L22" s="164"/>
      <c r="M22" s="164"/>
      <c r="N22" s="145">
        <f t="shared" si="12"/>
        <v>0</v>
      </c>
      <c r="O22" s="179"/>
      <c r="P22" s="169" t="s">
        <v>186</v>
      </c>
    </row>
    <row r="23" spans="2:22" ht="15.2" customHeight="1" thickBot="1" x14ac:dyDescent="0.2">
      <c r="B23" s="618"/>
      <c r="C23" s="29"/>
      <c r="D23" s="29"/>
      <c r="E23" s="36"/>
      <c r="F23" s="29"/>
      <c r="G23" s="145">
        <f>D23*F23</f>
        <v>0</v>
      </c>
      <c r="H23" s="157"/>
      <c r="I23" s="718"/>
      <c r="J23" s="250" t="s">
        <v>191</v>
      </c>
      <c r="K23" s="165">
        <f>SUM(K20:K22)</f>
        <v>0</v>
      </c>
      <c r="L23" s="166">
        <f>SUM(L20:L22)</f>
        <v>0</v>
      </c>
      <c r="M23" s="167"/>
      <c r="N23" s="160">
        <f>SUM(N20:N22)</f>
        <v>0</v>
      </c>
      <c r="O23" s="179"/>
      <c r="P23" s="246" t="s">
        <v>153</v>
      </c>
      <c r="Q23" s="247" t="s">
        <v>148</v>
      </c>
      <c r="R23" s="247" t="s">
        <v>149</v>
      </c>
      <c r="S23" s="247" t="s">
        <v>192</v>
      </c>
      <c r="T23" s="247" t="s">
        <v>151</v>
      </c>
      <c r="U23" s="310" t="s">
        <v>232</v>
      </c>
      <c r="V23" s="248" t="s">
        <v>152</v>
      </c>
    </row>
    <row r="24" spans="2:22" ht="15.2" customHeight="1" thickTop="1" thickBot="1" x14ac:dyDescent="0.2">
      <c r="B24" s="717"/>
      <c r="C24" s="151" t="s">
        <v>120</v>
      </c>
      <c r="D24" s="152"/>
      <c r="E24" s="152"/>
      <c r="F24" s="159"/>
      <c r="G24" s="153">
        <f>SUM(G21:G23)</f>
        <v>0</v>
      </c>
      <c r="I24" s="716" t="s">
        <v>236</v>
      </c>
      <c r="J24" s="29"/>
      <c r="K24" s="164"/>
      <c r="L24" s="164"/>
      <c r="M24" s="164"/>
      <c r="N24" s="145">
        <f>K24*L24*M24</f>
        <v>0</v>
      </c>
      <c r="O24" s="179"/>
      <c r="P24" s="249" t="s">
        <v>365</v>
      </c>
      <c r="Q24" s="387">
        <v>1</v>
      </c>
      <c r="R24" s="311" t="s">
        <v>80</v>
      </c>
      <c r="S24" s="141">
        <v>50000</v>
      </c>
      <c r="T24" s="141">
        <v>10</v>
      </c>
      <c r="U24" s="142">
        <v>80</v>
      </c>
      <c r="V24" s="172">
        <f>Q24*S24/T24/U24*10</f>
        <v>625</v>
      </c>
    </row>
    <row r="25" spans="2:22" ht="15.2" customHeight="1" x14ac:dyDescent="0.15">
      <c r="H25" s="158"/>
      <c r="I25" s="618"/>
      <c r="J25" s="29"/>
      <c r="K25" s="164"/>
      <c r="L25" s="164"/>
      <c r="M25" s="164"/>
      <c r="N25" s="145">
        <f t="shared" ref="N25:N26" si="13">K25*L25*M25</f>
        <v>0</v>
      </c>
      <c r="O25" s="179"/>
      <c r="P25" s="249" t="s">
        <v>366</v>
      </c>
      <c r="Q25" s="387">
        <v>3</v>
      </c>
      <c r="R25" s="177" t="s">
        <v>119</v>
      </c>
      <c r="S25" s="141">
        <v>700</v>
      </c>
      <c r="T25" s="141">
        <v>10</v>
      </c>
      <c r="U25" s="142">
        <v>80</v>
      </c>
      <c r="V25" s="172">
        <f t="shared" ref="V25:V26" si="14">Q25*S25/T25/U25*10</f>
        <v>26.25</v>
      </c>
    </row>
    <row r="26" spans="2:22" ht="15.2" customHeight="1" thickBot="1" x14ac:dyDescent="0.2">
      <c r="B26" s="5" t="s">
        <v>193</v>
      </c>
      <c r="C26" s="5"/>
      <c r="D26" s="32"/>
      <c r="E26" s="5"/>
      <c r="F26" s="32"/>
      <c r="G26" s="33"/>
      <c r="H26" s="156"/>
      <c r="I26" s="618"/>
      <c r="J26" s="29"/>
      <c r="K26" s="164"/>
      <c r="L26" s="164"/>
      <c r="M26" s="164"/>
      <c r="N26" s="145">
        <f t="shared" si="13"/>
        <v>0</v>
      </c>
      <c r="O26" s="179"/>
      <c r="P26" s="249" t="s">
        <v>425</v>
      </c>
      <c r="Q26" s="387">
        <v>30</v>
      </c>
      <c r="R26" s="311" t="s">
        <v>424</v>
      </c>
      <c r="S26" s="141">
        <v>800</v>
      </c>
      <c r="T26" s="141">
        <v>10</v>
      </c>
      <c r="U26" s="142">
        <v>80</v>
      </c>
      <c r="V26" s="172">
        <f t="shared" si="14"/>
        <v>300</v>
      </c>
    </row>
    <row r="27" spans="2:22" ht="15.2" customHeight="1" thickBot="1" x14ac:dyDescent="0.2">
      <c r="B27" s="245" t="s">
        <v>72</v>
      </c>
      <c r="C27" s="155" t="s">
        <v>111</v>
      </c>
      <c r="D27" s="155" t="s">
        <v>112</v>
      </c>
      <c r="E27" s="155" t="s">
        <v>113</v>
      </c>
      <c r="F27" s="155" t="s">
        <v>21</v>
      </c>
      <c r="G27" s="143" t="s">
        <v>114</v>
      </c>
      <c r="H27" s="157"/>
      <c r="I27" s="718"/>
      <c r="J27" s="250" t="s">
        <v>189</v>
      </c>
      <c r="K27" s="165">
        <f>SUM(K24:K26)</f>
        <v>0</v>
      </c>
      <c r="L27" s="166">
        <f>SUM(L24:L26)</f>
        <v>0</v>
      </c>
      <c r="M27" s="167"/>
      <c r="N27" s="160">
        <f>SUM(N24:N26)</f>
        <v>0</v>
      </c>
      <c r="O27" s="179"/>
      <c r="P27" s="249" t="s">
        <v>381</v>
      </c>
      <c r="Q27" s="387">
        <v>1</v>
      </c>
      <c r="R27" s="311" t="s">
        <v>80</v>
      </c>
      <c r="S27" s="141">
        <v>50000</v>
      </c>
      <c r="T27" s="141">
        <v>10</v>
      </c>
      <c r="U27" s="142">
        <v>80</v>
      </c>
      <c r="V27" s="172">
        <f t="shared" ref="V27:V33" si="15">Q27*S27/T27/U27*10</f>
        <v>625</v>
      </c>
    </row>
    <row r="28" spans="2:22" ht="15.2" customHeight="1" thickTop="1" x14ac:dyDescent="0.15">
      <c r="B28" s="617" t="s">
        <v>27</v>
      </c>
      <c r="C28" s="29" t="s">
        <v>497</v>
      </c>
      <c r="D28" s="59">
        <v>6.4</v>
      </c>
      <c r="E28" s="36" t="s">
        <v>308</v>
      </c>
      <c r="F28" s="29">
        <v>1030</v>
      </c>
      <c r="G28" s="144">
        <f t="shared" ref="G28:G35" si="16">D28*F28</f>
        <v>6592</v>
      </c>
      <c r="H28" s="157"/>
      <c r="I28" s="716" t="s">
        <v>142</v>
      </c>
      <c r="J28" s="44" t="s">
        <v>345</v>
      </c>
      <c r="K28" s="395">
        <v>24</v>
      </c>
      <c r="L28" s="397">
        <v>0.3</v>
      </c>
      <c r="M28" s="395">
        <v>14</v>
      </c>
      <c r="N28" s="396">
        <f>K28*L28*M28</f>
        <v>100.79999999999998</v>
      </c>
      <c r="O28" s="179"/>
      <c r="P28" s="249" t="s">
        <v>394</v>
      </c>
      <c r="Q28" s="387">
        <v>1</v>
      </c>
      <c r="R28" s="311" t="s">
        <v>338</v>
      </c>
      <c r="S28" s="141">
        <v>46000</v>
      </c>
      <c r="T28" s="141">
        <v>10</v>
      </c>
      <c r="U28" s="324">
        <v>80</v>
      </c>
      <c r="V28" s="172">
        <f t="shared" si="15"/>
        <v>575</v>
      </c>
    </row>
    <row r="29" spans="2:22" ht="15.2" customHeight="1" x14ac:dyDescent="0.15">
      <c r="B29" s="719"/>
      <c r="C29" s="29" t="s">
        <v>499</v>
      </c>
      <c r="D29" s="59">
        <v>2.6</v>
      </c>
      <c r="E29" s="36" t="s">
        <v>308</v>
      </c>
      <c r="F29" s="29">
        <v>1760</v>
      </c>
      <c r="G29" s="144">
        <f t="shared" si="16"/>
        <v>4576</v>
      </c>
      <c r="H29" s="157"/>
      <c r="I29" s="618"/>
      <c r="J29" s="44" t="s">
        <v>346</v>
      </c>
      <c r="K29" s="395">
        <v>24</v>
      </c>
      <c r="L29" s="397">
        <v>0.25</v>
      </c>
      <c r="M29" s="395">
        <v>14</v>
      </c>
      <c r="N29" s="396">
        <f t="shared" ref="N29:N30" si="17">K29*L29*M29</f>
        <v>84</v>
      </c>
      <c r="O29" s="31"/>
      <c r="P29" s="249" t="s">
        <v>367</v>
      </c>
      <c r="Q29" s="387">
        <v>3</v>
      </c>
      <c r="R29" s="311" t="s">
        <v>368</v>
      </c>
      <c r="S29" s="141">
        <v>30000</v>
      </c>
      <c r="T29" s="141">
        <v>15</v>
      </c>
      <c r="U29" s="324">
        <v>80</v>
      </c>
      <c r="V29" s="172">
        <f t="shared" si="15"/>
        <v>750</v>
      </c>
    </row>
    <row r="30" spans="2:22" ht="15.2" customHeight="1" x14ac:dyDescent="0.15">
      <c r="B30" s="719"/>
      <c r="C30" s="29" t="s">
        <v>500</v>
      </c>
      <c r="D30" s="59">
        <v>1.6</v>
      </c>
      <c r="E30" s="36" t="s">
        <v>308</v>
      </c>
      <c r="F30" s="29">
        <v>2270</v>
      </c>
      <c r="G30" s="145">
        <f t="shared" si="16"/>
        <v>3632</v>
      </c>
      <c r="H30" s="157"/>
      <c r="I30" s="618"/>
      <c r="J30" s="44" t="s">
        <v>413</v>
      </c>
      <c r="K30" s="395">
        <v>720</v>
      </c>
      <c r="L30" s="397">
        <v>1.1000000000000001</v>
      </c>
      <c r="M30" s="395">
        <v>14</v>
      </c>
      <c r="N30" s="396">
        <f t="shared" si="17"/>
        <v>11088.000000000002</v>
      </c>
      <c r="P30" s="249" t="s">
        <v>395</v>
      </c>
      <c r="Q30" s="387">
        <v>3</v>
      </c>
      <c r="R30" s="177" t="s">
        <v>369</v>
      </c>
      <c r="S30" s="141">
        <v>3000</v>
      </c>
      <c r="T30" s="141">
        <v>10</v>
      </c>
      <c r="U30" s="142">
        <v>80</v>
      </c>
      <c r="V30" s="172">
        <f t="shared" si="15"/>
        <v>112.5</v>
      </c>
    </row>
    <row r="31" spans="2:22" ht="15.2" customHeight="1" thickBot="1" x14ac:dyDescent="0.2">
      <c r="B31" s="719"/>
      <c r="C31" s="29" t="s">
        <v>501</v>
      </c>
      <c r="D31" s="59">
        <v>0.3</v>
      </c>
      <c r="E31" s="36" t="s">
        <v>308</v>
      </c>
      <c r="F31" s="29">
        <v>8320</v>
      </c>
      <c r="G31" s="145">
        <f t="shared" si="16"/>
        <v>2496</v>
      </c>
      <c r="H31" s="157"/>
      <c r="I31" s="717"/>
      <c r="J31" s="251" t="s">
        <v>194</v>
      </c>
      <c r="K31" s="168">
        <f>SUM(K28:K30)</f>
        <v>768</v>
      </c>
      <c r="L31" s="170">
        <f>SUM(L28:L30)</f>
        <v>1.6500000000000001</v>
      </c>
      <c r="M31" s="171"/>
      <c r="N31" s="162">
        <f>SUM(N28:N30)</f>
        <v>11272.800000000001</v>
      </c>
      <c r="P31" s="249" t="s">
        <v>396</v>
      </c>
      <c r="Q31" s="387">
        <v>1</v>
      </c>
      <c r="R31" s="177" t="s">
        <v>338</v>
      </c>
      <c r="S31" s="141">
        <v>110000</v>
      </c>
      <c r="T31" s="141">
        <v>5</v>
      </c>
      <c r="U31" s="142">
        <v>80</v>
      </c>
      <c r="V31" s="172">
        <f t="shared" si="15"/>
        <v>2750</v>
      </c>
    </row>
    <row r="32" spans="2:22" ht="15.2" customHeight="1" x14ac:dyDescent="0.15">
      <c r="B32" s="719"/>
      <c r="C32" s="325" t="s">
        <v>502</v>
      </c>
      <c r="D32" s="283">
        <v>0.1</v>
      </c>
      <c r="E32" s="36" t="s">
        <v>308</v>
      </c>
      <c r="F32" s="325">
        <v>4120</v>
      </c>
      <c r="G32" s="145">
        <f t="shared" si="16"/>
        <v>412</v>
      </c>
      <c r="H32" s="157"/>
      <c r="I32" s="136"/>
      <c r="J32" s="136"/>
      <c r="K32" s="136"/>
      <c r="L32" s="136"/>
      <c r="M32" s="136"/>
      <c r="N32" s="136"/>
      <c r="P32" s="249" t="s">
        <v>370</v>
      </c>
      <c r="Q32" s="387">
        <v>1</v>
      </c>
      <c r="R32" s="177" t="s">
        <v>369</v>
      </c>
      <c r="S32" s="141">
        <v>8000</v>
      </c>
      <c r="T32" s="141">
        <v>1</v>
      </c>
      <c r="U32" s="142">
        <v>80</v>
      </c>
      <c r="V32" s="172">
        <f t="shared" si="15"/>
        <v>1000</v>
      </c>
    </row>
    <row r="33" spans="2:22" ht="15.2" customHeight="1" thickBot="1" x14ac:dyDescent="0.2">
      <c r="B33" s="719"/>
      <c r="C33" s="325" t="s">
        <v>503</v>
      </c>
      <c r="D33" s="283">
        <v>0.5</v>
      </c>
      <c r="E33" s="36" t="s">
        <v>308</v>
      </c>
      <c r="F33" s="325">
        <v>4640</v>
      </c>
      <c r="G33" s="145">
        <f t="shared" si="16"/>
        <v>2320</v>
      </c>
      <c r="H33" s="157"/>
      <c r="I33" s="130" t="s">
        <v>184</v>
      </c>
      <c r="J33" s="123"/>
      <c r="K33" s="123"/>
      <c r="L33" s="123"/>
      <c r="M33" s="123"/>
      <c r="P33" s="249" t="s">
        <v>440</v>
      </c>
      <c r="Q33" s="387">
        <v>1</v>
      </c>
      <c r="R33" s="177" t="s">
        <v>441</v>
      </c>
      <c r="S33" s="141">
        <v>25000</v>
      </c>
      <c r="T33" s="141">
        <v>3</v>
      </c>
      <c r="U33" s="142">
        <v>80</v>
      </c>
      <c r="V33" s="172">
        <f t="shared" si="15"/>
        <v>1041.6666666666667</v>
      </c>
    </row>
    <row r="34" spans="2:22" ht="15.2" customHeight="1" thickBot="1" x14ac:dyDescent="0.2">
      <c r="B34" s="719"/>
      <c r="C34" s="29" t="s">
        <v>504</v>
      </c>
      <c r="D34" s="59">
        <v>0.5</v>
      </c>
      <c r="E34" s="36" t="s">
        <v>308</v>
      </c>
      <c r="F34" s="29">
        <v>3350</v>
      </c>
      <c r="G34" s="145">
        <f t="shared" si="16"/>
        <v>1675</v>
      </c>
      <c r="H34" s="157"/>
      <c r="I34" s="229" t="s">
        <v>172</v>
      </c>
      <c r="J34" s="230" t="s">
        <v>3</v>
      </c>
      <c r="K34" s="699" t="s">
        <v>173</v>
      </c>
      <c r="L34" s="700"/>
      <c r="M34" s="314" t="s">
        <v>232</v>
      </c>
      <c r="N34" s="252" t="s">
        <v>195</v>
      </c>
      <c r="P34" s="253" t="s">
        <v>177</v>
      </c>
      <c r="Q34" s="174"/>
      <c r="R34" s="174"/>
      <c r="S34" s="174"/>
      <c r="T34" s="174"/>
      <c r="U34" s="176"/>
      <c r="V34" s="175">
        <f>SUM(V24:V33)</f>
        <v>7805.416666666667</v>
      </c>
    </row>
    <row r="35" spans="2:22" ht="15.2" customHeight="1" x14ac:dyDescent="0.15">
      <c r="B35" s="719"/>
      <c r="C35" s="29" t="s">
        <v>505</v>
      </c>
      <c r="D35" s="59">
        <v>0.5</v>
      </c>
      <c r="E35" s="36" t="s">
        <v>309</v>
      </c>
      <c r="F35" s="29">
        <v>4940</v>
      </c>
      <c r="G35" s="145">
        <f t="shared" si="16"/>
        <v>2470</v>
      </c>
      <c r="H35" s="157"/>
      <c r="I35" s="703" t="s">
        <v>0</v>
      </c>
      <c r="J35" s="154" t="s">
        <v>353</v>
      </c>
      <c r="K35" s="698">
        <v>1728000</v>
      </c>
      <c r="L35" s="698"/>
      <c r="M35" s="228">
        <v>80</v>
      </c>
      <c r="N35" s="239">
        <f>+K35/M35*0.3*10*0.014</f>
        <v>907.2</v>
      </c>
    </row>
    <row r="36" spans="2:22" ht="15.2" customHeight="1" thickBot="1" x14ac:dyDescent="0.2">
      <c r="B36" s="720"/>
      <c r="C36" s="146" t="s">
        <v>117</v>
      </c>
      <c r="D36" s="371"/>
      <c r="E36" s="146"/>
      <c r="F36" s="146"/>
      <c r="G36" s="147">
        <f>SUM(G26:G35)</f>
        <v>24173</v>
      </c>
      <c r="H36" s="157"/>
      <c r="I36" s="704"/>
      <c r="J36" s="154" t="s">
        <v>354</v>
      </c>
      <c r="K36" s="698">
        <v>1240000</v>
      </c>
      <c r="L36" s="698"/>
      <c r="M36" s="228">
        <v>80</v>
      </c>
      <c r="N36" s="239">
        <f t="shared" ref="N36:N37" si="18">+K36/M36*0.3*10*0.014</f>
        <v>651</v>
      </c>
      <c r="P36" s="130" t="s">
        <v>178</v>
      </c>
      <c r="Q36" s="123"/>
      <c r="R36" s="123"/>
      <c r="S36" s="123"/>
      <c r="T36" s="123"/>
    </row>
    <row r="37" spans="2:22" ht="15.2" customHeight="1" thickTop="1" x14ac:dyDescent="0.15">
      <c r="B37" s="716" t="s">
        <v>138</v>
      </c>
      <c r="C37" s="29" t="s">
        <v>497</v>
      </c>
      <c r="D37" s="59">
        <v>0.8</v>
      </c>
      <c r="E37" s="370" t="s">
        <v>308</v>
      </c>
      <c r="F37" s="29">
        <v>4110</v>
      </c>
      <c r="G37" s="369">
        <f t="shared" ref="G37:G38" si="19">D37*F37</f>
        <v>3288</v>
      </c>
      <c r="H37" s="157"/>
      <c r="I37" s="704"/>
      <c r="J37" s="154" t="s">
        <v>443</v>
      </c>
      <c r="K37" s="698">
        <v>1800000</v>
      </c>
      <c r="L37" s="698"/>
      <c r="M37" s="228">
        <v>80</v>
      </c>
      <c r="N37" s="239">
        <f t="shared" si="18"/>
        <v>945</v>
      </c>
      <c r="O37" s="169"/>
      <c r="P37" s="229" t="s">
        <v>171</v>
      </c>
      <c r="Q37" s="688" t="s">
        <v>179</v>
      </c>
      <c r="R37" s="688"/>
      <c r="S37" s="238" t="s">
        <v>182</v>
      </c>
      <c r="T37" s="238" t="s">
        <v>181</v>
      </c>
      <c r="U37" s="313" t="s">
        <v>232</v>
      </c>
      <c r="V37" s="254" t="s">
        <v>195</v>
      </c>
    </row>
    <row r="38" spans="2:22" ht="15.2" customHeight="1" x14ac:dyDescent="0.15">
      <c r="B38" s="719"/>
      <c r="C38" s="368" t="s">
        <v>499</v>
      </c>
      <c r="D38" s="372">
        <v>0.8</v>
      </c>
      <c r="E38" s="370" t="s">
        <v>308</v>
      </c>
      <c r="F38" s="368">
        <v>4970</v>
      </c>
      <c r="G38" s="369">
        <f t="shared" si="19"/>
        <v>3976</v>
      </c>
      <c r="H38" s="157"/>
      <c r="I38" s="704"/>
      <c r="J38" s="154"/>
      <c r="K38" s="698"/>
      <c r="L38" s="698"/>
      <c r="M38" s="228"/>
      <c r="N38" s="239"/>
      <c r="O38" s="169"/>
      <c r="P38" s="743" t="s">
        <v>180</v>
      </c>
      <c r="Q38" s="235" t="s">
        <v>355</v>
      </c>
      <c r="R38" s="257"/>
      <c r="S38" s="236"/>
      <c r="T38" s="258"/>
      <c r="U38" s="236"/>
      <c r="V38" s="239">
        <v>3045</v>
      </c>
    </row>
    <row r="39" spans="2:22" ht="15.2" customHeight="1" x14ac:dyDescent="0.15">
      <c r="B39" s="719"/>
      <c r="C39" s="368" t="s">
        <v>500</v>
      </c>
      <c r="D39" s="372">
        <v>1.6</v>
      </c>
      <c r="E39" s="370" t="s">
        <v>308</v>
      </c>
      <c r="F39" s="368">
        <v>3740</v>
      </c>
      <c r="G39" s="369">
        <f>D39*F39</f>
        <v>5984</v>
      </c>
      <c r="H39" s="157"/>
      <c r="I39" s="704"/>
      <c r="J39" s="154"/>
      <c r="K39" s="698"/>
      <c r="L39" s="698"/>
      <c r="M39" s="228"/>
      <c r="N39" s="239"/>
      <c r="O39" s="169"/>
      <c r="P39" s="741"/>
      <c r="Q39" s="235"/>
      <c r="R39" s="257"/>
      <c r="S39" s="236"/>
      <c r="T39" s="258"/>
      <c r="U39" s="236"/>
      <c r="V39" s="239"/>
    </row>
    <row r="40" spans="2:22" ht="15.2" customHeight="1" x14ac:dyDescent="0.15">
      <c r="B40" s="719"/>
      <c r="C40" s="29" t="s">
        <v>501</v>
      </c>
      <c r="D40" s="59">
        <v>0.5</v>
      </c>
      <c r="E40" s="370" t="s">
        <v>308</v>
      </c>
      <c r="F40" s="29">
        <v>4480</v>
      </c>
      <c r="G40" s="145">
        <f>D40*F40</f>
        <v>2240</v>
      </c>
      <c r="H40" s="157"/>
      <c r="I40" s="704"/>
      <c r="J40" s="154" t="s">
        <v>445</v>
      </c>
      <c r="K40" s="698">
        <v>23100</v>
      </c>
      <c r="L40" s="698"/>
      <c r="M40" s="228">
        <v>80</v>
      </c>
      <c r="N40" s="239">
        <f>+K40/M40*10</f>
        <v>2887.5</v>
      </c>
      <c r="O40" s="169"/>
      <c r="P40" s="741"/>
      <c r="Q40" s="235"/>
      <c r="R40" s="257"/>
      <c r="S40" s="236"/>
      <c r="T40" s="258"/>
      <c r="U40" s="236"/>
      <c r="V40" s="239"/>
    </row>
    <row r="41" spans="2:22" ht="15.2" customHeight="1" x14ac:dyDescent="0.15">
      <c r="B41" s="719"/>
      <c r="C41" s="29" t="s">
        <v>506</v>
      </c>
      <c r="D41" s="59">
        <v>0.8</v>
      </c>
      <c r="E41" s="370" t="s">
        <v>308</v>
      </c>
      <c r="F41" s="29">
        <v>11990</v>
      </c>
      <c r="G41" s="145">
        <f t="shared" ref="G41:G47" si="20">D41*F41</f>
        <v>9592</v>
      </c>
      <c r="H41" s="157"/>
      <c r="I41" s="704"/>
      <c r="J41" s="154"/>
      <c r="K41" s="698"/>
      <c r="L41" s="698"/>
      <c r="M41" s="228">
        <v>0</v>
      </c>
      <c r="N41" s="239"/>
      <c r="O41" s="169"/>
      <c r="P41" s="741"/>
      <c r="Q41" s="235"/>
      <c r="R41" s="257"/>
      <c r="S41" s="236"/>
      <c r="T41" s="258"/>
      <c r="U41" s="236"/>
      <c r="V41" s="239"/>
    </row>
    <row r="42" spans="2:22" ht="15.2" customHeight="1" thickBot="1" x14ac:dyDescent="0.2">
      <c r="B42" s="719"/>
      <c r="C42" s="325" t="s">
        <v>507</v>
      </c>
      <c r="D42" s="283">
        <v>0.4</v>
      </c>
      <c r="E42" s="370" t="s">
        <v>308</v>
      </c>
      <c r="F42" s="325">
        <v>11200</v>
      </c>
      <c r="G42" s="145">
        <f t="shared" si="20"/>
        <v>4480</v>
      </c>
      <c r="H42" s="157"/>
      <c r="I42" s="705"/>
      <c r="J42" s="231" t="s">
        <v>118</v>
      </c>
      <c r="K42" s="695"/>
      <c r="L42" s="696"/>
      <c r="M42" s="232"/>
      <c r="N42" s="237">
        <f>SUM(N35:N41)</f>
        <v>5390.7</v>
      </c>
      <c r="O42" s="169"/>
      <c r="P42" s="741"/>
      <c r="Q42" s="235"/>
      <c r="R42" s="257"/>
      <c r="S42" s="236"/>
      <c r="T42" s="258"/>
      <c r="U42" s="236"/>
      <c r="V42" s="239"/>
    </row>
    <row r="43" spans="2:22" ht="15.2" customHeight="1" thickTop="1" x14ac:dyDescent="0.15">
      <c r="B43" s="719"/>
      <c r="C43" s="325" t="s">
        <v>508</v>
      </c>
      <c r="D43" s="283">
        <v>0.8</v>
      </c>
      <c r="E43" s="370" t="s">
        <v>308</v>
      </c>
      <c r="F43" s="325">
        <v>5560</v>
      </c>
      <c r="G43" s="145">
        <f t="shared" si="20"/>
        <v>4448</v>
      </c>
      <c r="H43" s="157"/>
      <c r="I43" s="713" t="s">
        <v>174</v>
      </c>
      <c r="J43" s="233" t="s">
        <v>187</v>
      </c>
      <c r="K43" s="697">
        <v>4100</v>
      </c>
      <c r="L43" s="697"/>
      <c r="M43" s="234">
        <v>80</v>
      </c>
      <c r="N43" s="239">
        <f>+K43/M43*10</f>
        <v>512.5</v>
      </c>
      <c r="O43" s="169"/>
      <c r="P43" s="741"/>
      <c r="Q43" s="235"/>
      <c r="R43" s="257"/>
      <c r="S43" s="236"/>
      <c r="T43" s="258"/>
      <c r="U43" s="236"/>
      <c r="V43" s="239"/>
    </row>
    <row r="44" spans="2:22" ht="15.2" customHeight="1" thickBot="1" x14ac:dyDescent="0.2">
      <c r="B44" s="719"/>
      <c r="C44" s="29" t="s">
        <v>509</v>
      </c>
      <c r="D44" s="59">
        <v>0.5</v>
      </c>
      <c r="E44" s="370" t="s">
        <v>309</v>
      </c>
      <c r="F44" s="29">
        <v>11700</v>
      </c>
      <c r="G44" s="145">
        <f t="shared" si="20"/>
        <v>5850</v>
      </c>
      <c r="H44" s="157"/>
      <c r="I44" s="714"/>
      <c r="J44" s="235"/>
      <c r="K44" s="698"/>
      <c r="L44" s="698"/>
      <c r="M44" s="228"/>
      <c r="N44" s="239"/>
      <c r="O44" s="169"/>
      <c r="P44" s="744"/>
      <c r="Q44" s="240" t="s">
        <v>183</v>
      </c>
      <c r="R44" s="241"/>
      <c r="S44" s="241"/>
      <c r="T44" s="241"/>
      <c r="U44" s="241"/>
      <c r="V44" s="242">
        <f>SUM(V38:V43)</f>
        <v>3045</v>
      </c>
    </row>
    <row r="45" spans="2:22" ht="15.2" customHeight="1" thickTop="1" x14ac:dyDescent="0.15">
      <c r="B45" s="719"/>
      <c r="C45" s="29" t="s">
        <v>510</v>
      </c>
      <c r="D45" s="59">
        <v>0.8</v>
      </c>
      <c r="E45" s="370" t="s">
        <v>308</v>
      </c>
      <c r="F45" s="29">
        <v>1570</v>
      </c>
      <c r="G45" s="145">
        <f t="shared" si="20"/>
        <v>1256</v>
      </c>
      <c r="H45" s="157"/>
      <c r="I45" s="714"/>
      <c r="J45" s="154"/>
      <c r="K45" s="698"/>
      <c r="L45" s="698"/>
      <c r="M45" s="228"/>
      <c r="N45" s="239"/>
      <c r="O45" s="169"/>
      <c r="P45" s="740" t="s">
        <v>188</v>
      </c>
      <c r="Q45" s="737" t="s">
        <v>196</v>
      </c>
      <c r="R45" s="259" t="s">
        <v>187</v>
      </c>
      <c r="S45" s="235">
        <v>15600</v>
      </c>
      <c r="T45" s="258">
        <v>1</v>
      </c>
      <c r="U45" s="235">
        <v>50</v>
      </c>
      <c r="V45" s="239">
        <f>+S45*T45/U45*10</f>
        <v>3120</v>
      </c>
    </row>
    <row r="46" spans="2:22" ht="15.2" customHeight="1" thickBot="1" x14ac:dyDescent="0.2">
      <c r="B46" s="719"/>
      <c r="C46" s="29" t="s">
        <v>511</v>
      </c>
      <c r="D46" s="59">
        <v>0.5</v>
      </c>
      <c r="E46" s="370" t="s">
        <v>308</v>
      </c>
      <c r="F46" s="29">
        <v>4890</v>
      </c>
      <c r="G46" s="145">
        <f t="shared" si="20"/>
        <v>2445</v>
      </c>
      <c r="H46" s="157"/>
      <c r="I46" s="715"/>
      <c r="J46" s="231" t="s">
        <v>118</v>
      </c>
      <c r="K46" s="695"/>
      <c r="L46" s="696"/>
      <c r="M46" s="232"/>
      <c r="N46" s="237">
        <f>SUM(N43:N45)</f>
        <v>512.5</v>
      </c>
      <c r="O46" s="169"/>
      <c r="P46" s="741"/>
      <c r="Q46" s="738"/>
      <c r="R46" s="259"/>
      <c r="S46" s="235"/>
      <c r="T46" s="258"/>
      <c r="U46" s="235"/>
      <c r="V46" s="239"/>
    </row>
    <row r="47" spans="2:22" ht="15.2" customHeight="1" thickTop="1" x14ac:dyDescent="0.15">
      <c r="B47" s="719"/>
      <c r="C47" s="29" t="s">
        <v>512</v>
      </c>
      <c r="D47" s="59">
        <v>0.5</v>
      </c>
      <c r="E47" s="370" t="s">
        <v>308</v>
      </c>
      <c r="F47" s="29">
        <v>4990</v>
      </c>
      <c r="G47" s="145">
        <f t="shared" si="20"/>
        <v>2495</v>
      </c>
      <c r="H47" s="157"/>
      <c r="I47" s="713" t="s">
        <v>175</v>
      </c>
      <c r="J47" s="233"/>
      <c r="K47" s="697"/>
      <c r="L47" s="697"/>
      <c r="M47" s="234"/>
      <c r="N47" s="255"/>
      <c r="O47" s="169"/>
      <c r="P47" s="741"/>
      <c r="Q47" s="738"/>
      <c r="R47" s="259"/>
      <c r="S47" s="235"/>
      <c r="T47" s="235"/>
      <c r="U47" s="154"/>
      <c r="V47" s="260"/>
    </row>
    <row r="48" spans="2:22" ht="15.2" customHeight="1" x14ac:dyDescent="0.15">
      <c r="B48" s="719"/>
      <c r="C48" s="29" t="s">
        <v>513</v>
      </c>
      <c r="D48" s="59">
        <v>1</v>
      </c>
      <c r="E48" s="370" t="s">
        <v>308</v>
      </c>
      <c r="F48" s="29">
        <v>2300</v>
      </c>
      <c r="G48" s="145">
        <f t="shared" ref="G48:G50" si="21">D48*F48</f>
        <v>2300</v>
      </c>
      <c r="H48" s="157"/>
      <c r="I48" s="714"/>
      <c r="J48" s="235"/>
      <c r="K48" s="698"/>
      <c r="L48" s="698"/>
      <c r="M48" s="228"/>
      <c r="N48" s="239"/>
      <c r="O48" s="169"/>
      <c r="P48" s="741"/>
      <c r="Q48" s="738"/>
      <c r="R48" s="259"/>
      <c r="S48" s="235"/>
      <c r="T48" s="258"/>
      <c r="U48" s="235"/>
      <c r="V48" s="239"/>
    </row>
    <row r="49" spans="2:22" ht="15.2" customHeight="1" x14ac:dyDescent="0.15">
      <c r="B49" s="719"/>
      <c r="C49" s="420" t="s">
        <v>514</v>
      </c>
      <c r="D49" s="372">
        <v>0.2</v>
      </c>
      <c r="E49" s="370" t="s">
        <v>308</v>
      </c>
      <c r="F49" s="368">
        <v>9020</v>
      </c>
      <c r="G49" s="369">
        <f t="shared" si="21"/>
        <v>1804</v>
      </c>
      <c r="H49" s="157"/>
      <c r="I49" s="714"/>
      <c r="J49" s="154"/>
      <c r="K49" s="698"/>
      <c r="L49" s="698"/>
      <c r="M49" s="228"/>
      <c r="N49" s="239"/>
      <c r="O49" s="169"/>
      <c r="P49" s="741"/>
      <c r="Q49" s="739"/>
      <c r="R49" s="259"/>
      <c r="S49" s="235"/>
      <c r="T49" s="235"/>
      <c r="U49" s="154"/>
      <c r="V49" s="260"/>
    </row>
    <row r="50" spans="2:22" ht="15.2" customHeight="1" thickBot="1" x14ac:dyDescent="0.2">
      <c r="B50" s="719"/>
      <c r="C50" s="29" t="s">
        <v>515</v>
      </c>
      <c r="D50" s="59">
        <v>0.3</v>
      </c>
      <c r="E50" s="370" t="s">
        <v>308</v>
      </c>
      <c r="F50" s="29">
        <v>4990</v>
      </c>
      <c r="G50" s="145">
        <f t="shared" si="21"/>
        <v>1497</v>
      </c>
      <c r="H50" s="157"/>
      <c r="I50" s="715"/>
      <c r="J50" s="231" t="s">
        <v>118</v>
      </c>
      <c r="K50" s="695"/>
      <c r="L50" s="696"/>
      <c r="M50" s="232"/>
      <c r="N50" s="237">
        <f>SUM(N47:N49)</f>
        <v>0</v>
      </c>
      <c r="O50" s="169"/>
      <c r="P50" s="741"/>
      <c r="Q50" s="240" t="s">
        <v>183</v>
      </c>
      <c r="R50" s="241"/>
      <c r="S50" s="241"/>
      <c r="T50" s="241"/>
      <c r="U50" s="241"/>
      <c r="V50" s="242">
        <f>SUM(V45:V49)</f>
        <v>3120</v>
      </c>
    </row>
    <row r="51" spans="2:22" ht="15.2" customHeight="1" thickTop="1" thickBot="1" x14ac:dyDescent="0.2">
      <c r="B51" s="720"/>
      <c r="C51" s="148" t="s">
        <v>118</v>
      </c>
      <c r="D51" s="373"/>
      <c r="E51" s="149"/>
      <c r="F51" s="149"/>
      <c r="G51" s="150">
        <f>SUM(G37:G50)</f>
        <v>51655</v>
      </c>
      <c r="H51" s="157"/>
      <c r="I51" s="708" t="s">
        <v>176</v>
      </c>
      <c r="J51" s="233" t="s">
        <v>43</v>
      </c>
      <c r="K51" s="689">
        <v>2400</v>
      </c>
      <c r="L51" s="690"/>
      <c r="M51" s="243">
        <v>80</v>
      </c>
      <c r="N51" s="256">
        <f>+K51/M51*10</f>
        <v>300</v>
      </c>
      <c r="O51" s="169"/>
      <c r="P51" s="741"/>
      <c r="Q51" s="737" t="s">
        <v>197</v>
      </c>
      <c r="R51" s="259" t="s">
        <v>187</v>
      </c>
      <c r="S51" s="235">
        <v>25000</v>
      </c>
      <c r="T51" s="258">
        <v>1</v>
      </c>
      <c r="U51" s="235">
        <v>50</v>
      </c>
      <c r="V51" s="239">
        <f>+S51*T51/U51*10</f>
        <v>5000</v>
      </c>
    </row>
    <row r="52" spans="2:22" ht="15.2" customHeight="1" thickTop="1" x14ac:dyDescent="0.15">
      <c r="B52" s="716" t="s">
        <v>29</v>
      </c>
      <c r="C52" s="29" t="s">
        <v>497</v>
      </c>
      <c r="D52" s="29"/>
      <c r="E52" s="29"/>
      <c r="F52" s="29"/>
      <c r="G52" s="145">
        <v>17440</v>
      </c>
      <c r="H52" s="157"/>
      <c r="I52" s="709"/>
      <c r="J52" s="376" t="s">
        <v>187</v>
      </c>
      <c r="K52" s="691">
        <v>5000</v>
      </c>
      <c r="L52" s="692"/>
      <c r="M52" s="244">
        <v>80</v>
      </c>
      <c r="N52" s="239">
        <f>+K52/M52*10</f>
        <v>625</v>
      </c>
      <c r="O52" s="169"/>
      <c r="P52" s="741"/>
      <c r="Q52" s="738"/>
      <c r="R52" s="259"/>
      <c r="S52" s="235"/>
      <c r="T52" s="258"/>
      <c r="U52" s="235"/>
      <c r="V52" s="239"/>
    </row>
    <row r="53" spans="2:22" ht="14.25" thickBot="1" x14ac:dyDescent="0.2">
      <c r="B53" s="720"/>
      <c r="C53" s="148" t="s">
        <v>118</v>
      </c>
      <c r="D53" s="149"/>
      <c r="E53" s="149"/>
      <c r="F53" s="149"/>
      <c r="G53" s="150">
        <f>+G52</f>
        <v>17440</v>
      </c>
      <c r="I53" s="709"/>
      <c r="J53" s="235"/>
      <c r="K53" s="693"/>
      <c r="L53" s="694"/>
      <c r="M53" s="244"/>
      <c r="N53" s="239"/>
      <c r="O53" s="169"/>
      <c r="P53" s="741"/>
      <c r="Q53" s="738"/>
      <c r="R53" s="259"/>
      <c r="S53" s="235"/>
      <c r="T53" s="235"/>
      <c r="U53" s="154"/>
      <c r="V53" s="260"/>
    </row>
    <row r="54" spans="2:22" ht="15" thickTop="1" thickBot="1" x14ac:dyDescent="0.2">
      <c r="B54" s="716" t="s">
        <v>140</v>
      </c>
      <c r="C54" s="29" t="s">
        <v>498</v>
      </c>
      <c r="D54" s="29"/>
      <c r="E54" s="36"/>
      <c r="F54" s="29"/>
      <c r="G54" s="145">
        <v>1821</v>
      </c>
      <c r="I54" s="709"/>
      <c r="J54" s="231" t="s">
        <v>118</v>
      </c>
      <c r="K54" s="695"/>
      <c r="L54" s="696"/>
      <c r="M54" s="232"/>
      <c r="N54" s="237">
        <f>SUM(N51:N53)</f>
        <v>925</v>
      </c>
      <c r="O54" s="169"/>
      <c r="P54" s="741"/>
      <c r="Q54" s="738"/>
      <c r="R54" s="259"/>
      <c r="S54" s="235"/>
      <c r="T54" s="258"/>
      <c r="U54" s="235"/>
      <c r="V54" s="239"/>
    </row>
    <row r="55" spans="2:22" ht="14.25" thickTop="1" x14ac:dyDescent="0.15">
      <c r="B55" s="618"/>
      <c r="C55" s="29" t="s">
        <v>516</v>
      </c>
      <c r="D55" s="29"/>
      <c r="E55" s="36"/>
      <c r="F55" s="29"/>
      <c r="G55" s="145">
        <v>15480</v>
      </c>
      <c r="I55" s="708" t="s">
        <v>432</v>
      </c>
      <c r="J55" s="233" t="s">
        <v>432</v>
      </c>
      <c r="K55" s="711" t="s">
        <v>433</v>
      </c>
      <c r="L55" s="712"/>
      <c r="M55" s="243">
        <v>80</v>
      </c>
      <c r="N55" s="255">
        <f>+'７　きく部門収支'!F4*0.3*0.08</f>
        <v>43696.819199999991</v>
      </c>
      <c r="O55" s="169"/>
      <c r="P55" s="741"/>
      <c r="Q55" s="739"/>
      <c r="R55" s="259"/>
      <c r="S55" s="235"/>
      <c r="T55" s="235"/>
      <c r="U55" s="154"/>
      <c r="V55" s="260"/>
    </row>
    <row r="56" spans="2:22" ht="14.25" thickBot="1" x14ac:dyDescent="0.2">
      <c r="B56" s="618"/>
      <c r="C56" s="29"/>
      <c r="D56" s="29"/>
      <c r="E56" s="36"/>
      <c r="F56" s="29"/>
      <c r="G56" s="145">
        <f>D56*F56</f>
        <v>0</v>
      </c>
      <c r="I56" s="710"/>
      <c r="J56" s="231" t="s">
        <v>118</v>
      </c>
      <c r="K56" s="695"/>
      <c r="L56" s="696"/>
      <c r="M56" s="232"/>
      <c r="N56" s="237">
        <f>SUM(N51:N55)</f>
        <v>45546.819199999991</v>
      </c>
      <c r="O56" s="169"/>
      <c r="P56" s="742"/>
      <c r="Q56" s="263" t="s">
        <v>183</v>
      </c>
      <c r="R56" s="264"/>
      <c r="S56" s="264"/>
      <c r="T56" s="264"/>
      <c r="U56" s="264"/>
      <c r="V56" s="265">
        <f>SUM(V51:V55)</f>
        <v>5000</v>
      </c>
    </row>
    <row r="57" spans="2:22" ht="15" thickTop="1" thickBot="1" x14ac:dyDescent="0.2">
      <c r="B57" s="717"/>
      <c r="C57" s="151" t="s">
        <v>120</v>
      </c>
      <c r="D57" s="152"/>
      <c r="E57" s="152"/>
      <c r="F57" s="152"/>
      <c r="G57" s="153">
        <f>+G54+G55+G56</f>
        <v>17301</v>
      </c>
      <c r="I57" s="701" t="s">
        <v>177</v>
      </c>
      <c r="J57" s="702"/>
      <c r="K57" s="706"/>
      <c r="L57" s="707"/>
      <c r="M57" s="401"/>
      <c r="N57" s="153">
        <f>+N42+N46+N50+N54+N56</f>
        <v>52375.019199999988</v>
      </c>
      <c r="O57" s="169"/>
      <c r="P57" s="735" t="s">
        <v>177</v>
      </c>
      <c r="Q57" s="736"/>
      <c r="R57" s="261"/>
      <c r="S57" s="261"/>
      <c r="T57" s="261"/>
      <c r="U57" s="261"/>
      <c r="V57" s="262">
        <f>SUM(V44,V50,V56)</f>
        <v>11165</v>
      </c>
    </row>
    <row r="58" spans="2:22" x14ac:dyDescent="0.15">
      <c r="O58" s="169"/>
      <c r="V58" s="30"/>
    </row>
    <row r="59" spans="2:22" x14ac:dyDescent="0.15">
      <c r="I59" s="169"/>
      <c r="J59" s="169"/>
      <c r="K59" s="169"/>
      <c r="L59" s="169"/>
      <c r="M59" s="169"/>
      <c r="N59" s="169"/>
      <c r="O59" s="169"/>
    </row>
    <row r="60" spans="2:22" x14ac:dyDescent="0.15">
      <c r="I60" s="169"/>
      <c r="J60" s="169"/>
      <c r="K60" s="169"/>
      <c r="L60" s="169"/>
      <c r="M60" s="169"/>
      <c r="N60" s="169"/>
      <c r="O60" s="169"/>
    </row>
    <row r="61" spans="2:22" x14ac:dyDescent="0.15">
      <c r="I61" s="169"/>
      <c r="J61" s="169"/>
      <c r="K61" s="169"/>
      <c r="L61" s="169"/>
      <c r="M61" s="169"/>
      <c r="N61" s="169"/>
      <c r="O61" s="169"/>
    </row>
    <row r="62" spans="2:22" x14ac:dyDescent="0.15">
      <c r="I62" s="169"/>
      <c r="J62" s="169"/>
      <c r="K62" s="169"/>
      <c r="L62" s="169"/>
      <c r="M62" s="169"/>
      <c r="N62" s="169"/>
      <c r="O62" s="169"/>
    </row>
    <row r="63" spans="2:22" x14ac:dyDescent="0.15">
      <c r="I63" s="169"/>
      <c r="J63" s="169"/>
      <c r="K63" s="169"/>
      <c r="L63" s="169"/>
      <c r="M63" s="169"/>
      <c r="N63" s="169"/>
      <c r="O63" s="169"/>
    </row>
    <row r="64" spans="2:22" x14ac:dyDescent="0.15">
      <c r="I64" s="169"/>
      <c r="J64" s="169"/>
      <c r="K64" s="169"/>
      <c r="L64" s="169"/>
      <c r="M64" s="169"/>
      <c r="N64" s="169"/>
      <c r="O64" s="169"/>
    </row>
    <row r="65" spans="9:15" x14ac:dyDescent="0.15">
      <c r="I65" s="169"/>
      <c r="J65" s="169"/>
      <c r="K65" s="169"/>
      <c r="L65" s="169"/>
      <c r="M65" s="169"/>
      <c r="N65" s="169"/>
      <c r="O65" s="169"/>
    </row>
    <row r="66" spans="9:15" x14ac:dyDescent="0.15">
      <c r="I66" s="169"/>
      <c r="J66" s="169"/>
      <c r="K66" s="169"/>
      <c r="L66" s="169"/>
      <c r="M66" s="169"/>
      <c r="N66" s="169"/>
      <c r="O66" s="169"/>
    </row>
    <row r="67" spans="9:15" x14ac:dyDescent="0.15">
      <c r="I67" s="169"/>
      <c r="J67" s="169"/>
      <c r="K67" s="169"/>
      <c r="L67" s="169"/>
      <c r="M67" s="169"/>
      <c r="N67" s="169"/>
      <c r="O67" s="169"/>
    </row>
    <row r="68" spans="9:15" x14ac:dyDescent="0.15">
      <c r="I68" s="169"/>
      <c r="J68" s="169"/>
      <c r="K68" s="169"/>
      <c r="L68" s="169"/>
      <c r="M68" s="169"/>
      <c r="N68" s="169"/>
      <c r="O68" s="169"/>
    </row>
    <row r="69" spans="9:15" x14ac:dyDescent="0.15">
      <c r="I69" s="169"/>
      <c r="J69" s="169"/>
      <c r="K69" s="169"/>
      <c r="L69" s="169"/>
      <c r="M69" s="169"/>
      <c r="N69" s="169"/>
      <c r="O69" s="169"/>
    </row>
    <row r="70" spans="9:15" x14ac:dyDescent="0.15">
      <c r="I70" s="169"/>
      <c r="J70" s="169"/>
      <c r="K70" s="169"/>
      <c r="L70" s="169"/>
      <c r="M70" s="169"/>
      <c r="N70" s="169"/>
      <c r="O70" s="169"/>
    </row>
    <row r="71" spans="9:15" x14ac:dyDescent="0.15">
      <c r="I71" s="169"/>
      <c r="J71" s="169"/>
      <c r="K71" s="169"/>
      <c r="L71" s="169"/>
      <c r="M71" s="169"/>
      <c r="N71" s="169"/>
      <c r="O71" s="169"/>
    </row>
    <row r="72" spans="9:15" x14ac:dyDescent="0.15">
      <c r="I72" s="169"/>
      <c r="J72" s="169"/>
      <c r="K72" s="169"/>
      <c r="L72" s="169"/>
      <c r="M72" s="169"/>
      <c r="N72" s="169"/>
      <c r="O72" s="169"/>
    </row>
    <row r="73" spans="9:15" x14ac:dyDescent="0.15">
      <c r="I73" s="169"/>
      <c r="J73" s="169"/>
      <c r="K73" s="169"/>
      <c r="L73" s="169"/>
      <c r="M73" s="169"/>
      <c r="N73" s="169"/>
      <c r="O73" s="169"/>
    </row>
    <row r="74" spans="9:15" x14ac:dyDescent="0.15">
      <c r="I74" s="169"/>
      <c r="J74" s="169"/>
      <c r="K74" s="169"/>
      <c r="L74" s="169"/>
      <c r="M74" s="169"/>
      <c r="N74" s="169"/>
      <c r="O74" s="169"/>
    </row>
    <row r="75" spans="9:15" x14ac:dyDescent="0.15">
      <c r="I75" s="169"/>
      <c r="J75" s="169"/>
      <c r="K75" s="169"/>
      <c r="L75" s="169"/>
      <c r="M75" s="169"/>
      <c r="N75" s="169"/>
      <c r="O75" s="169"/>
    </row>
    <row r="76" spans="9:15" x14ac:dyDescent="0.15">
      <c r="I76" s="169"/>
      <c r="J76" s="169"/>
      <c r="K76" s="169"/>
      <c r="L76" s="169"/>
      <c r="M76" s="169"/>
      <c r="N76" s="169"/>
      <c r="O76" s="169"/>
    </row>
    <row r="77" spans="9:15" x14ac:dyDescent="0.15">
      <c r="I77" s="169"/>
      <c r="J77" s="169"/>
      <c r="K77" s="169"/>
      <c r="L77" s="169"/>
      <c r="M77" s="169"/>
      <c r="N77" s="169"/>
      <c r="O77" s="169"/>
    </row>
    <row r="78" spans="9:15" x14ac:dyDescent="0.15">
      <c r="I78" s="169"/>
      <c r="J78" s="169"/>
      <c r="K78" s="169"/>
      <c r="L78" s="169"/>
      <c r="M78" s="169"/>
      <c r="N78" s="169"/>
      <c r="O78" s="169"/>
    </row>
    <row r="79" spans="9:15" x14ac:dyDescent="0.15">
      <c r="I79" s="169"/>
      <c r="J79" s="169"/>
      <c r="K79" s="169"/>
      <c r="L79" s="169"/>
      <c r="M79" s="169"/>
      <c r="N79" s="169"/>
      <c r="O79" s="169"/>
    </row>
    <row r="80" spans="9:15" x14ac:dyDescent="0.15">
      <c r="I80" s="169"/>
      <c r="J80" s="169"/>
      <c r="K80" s="169"/>
      <c r="L80" s="169"/>
      <c r="M80" s="169"/>
      <c r="N80" s="169"/>
      <c r="O80" s="169"/>
    </row>
    <row r="81" spans="2:15" x14ac:dyDescent="0.15">
      <c r="I81" s="169"/>
      <c r="J81" s="169"/>
      <c r="K81" s="169"/>
      <c r="L81" s="169"/>
      <c r="M81" s="169"/>
      <c r="N81" s="169"/>
      <c r="O81" s="169"/>
    </row>
    <row r="82" spans="2:15" x14ac:dyDescent="0.15">
      <c r="I82" s="169"/>
      <c r="J82" s="169"/>
      <c r="K82" s="169"/>
      <c r="L82" s="169"/>
      <c r="M82" s="169"/>
      <c r="N82" s="169"/>
      <c r="O82" s="169"/>
    </row>
    <row r="83" spans="2:15" x14ac:dyDescent="0.15">
      <c r="B83" s="156"/>
      <c r="C83" s="157"/>
      <c r="D83" s="157"/>
      <c r="E83" s="157"/>
      <c r="F83" s="157"/>
      <c r="I83" s="169"/>
      <c r="J83" s="169"/>
      <c r="K83" s="169"/>
      <c r="L83" s="169"/>
      <c r="M83" s="169"/>
      <c r="N83" s="169"/>
      <c r="O83" s="169"/>
    </row>
    <row r="84" spans="2:15" x14ac:dyDescent="0.15">
      <c r="B84" s="156"/>
      <c r="C84" s="157"/>
      <c r="D84" s="157"/>
      <c r="E84" s="157"/>
      <c r="F84" s="157"/>
      <c r="I84" s="169"/>
      <c r="J84" s="169"/>
      <c r="K84" s="169"/>
      <c r="L84" s="169"/>
      <c r="M84" s="169"/>
      <c r="N84" s="169"/>
      <c r="O84" s="169"/>
    </row>
    <row r="85" spans="2:15" x14ac:dyDescent="0.15">
      <c r="I85" s="169"/>
      <c r="J85" s="169"/>
      <c r="K85" s="169"/>
      <c r="L85" s="169"/>
      <c r="M85" s="169"/>
      <c r="N85" s="169"/>
      <c r="O85" s="169"/>
    </row>
    <row r="86" spans="2:15" x14ac:dyDescent="0.15">
      <c r="I86" s="169"/>
      <c r="J86" s="169"/>
      <c r="K86" s="169"/>
      <c r="L86" s="169"/>
      <c r="M86" s="169"/>
      <c r="N86" s="169"/>
      <c r="O86" s="169"/>
    </row>
    <row r="87" spans="2:15" x14ac:dyDescent="0.15">
      <c r="I87" s="169"/>
      <c r="J87" s="169"/>
      <c r="K87" s="169"/>
      <c r="L87" s="169"/>
      <c r="M87" s="169"/>
      <c r="N87" s="169"/>
      <c r="O87" s="169"/>
    </row>
    <row r="88" spans="2:15" x14ac:dyDescent="0.15">
      <c r="I88" s="169"/>
      <c r="J88" s="169"/>
      <c r="K88" s="169"/>
      <c r="L88" s="169"/>
      <c r="M88" s="169"/>
      <c r="N88" s="169"/>
      <c r="O88" s="169"/>
    </row>
    <row r="89" spans="2:15" x14ac:dyDescent="0.15">
      <c r="I89" s="169"/>
      <c r="J89" s="169"/>
      <c r="K89" s="169"/>
      <c r="L89" s="169"/>
      <c r="M89" s="169"/>
      <c r="N89" s="169"/>
      <c r="O89" s="169"/>
    </row>
    <row r="90" spans="2:15" x14ac:dyDescent="0.15">
      <c r="I90" s="169"/>
      <c r="J90" s="169"/>
      <c r="K90" s="169"/>
      <c r="L90" s="169"/>
      <c r="M90" s="169"/>
      <c r="N90" s="169"/>
      <c r="O90" s="169"/>
    </row>
    <row r="91" spans="2:15" x14ac:dyDescent="0.15">
      <c r="I91" s="169"/>
      <c r="J91" s="169"/>
      <c r="K91" s="169"/>
      <c r="L91" s="169"/>
      <c r="M91" s="169"/>
      <c r="N91" s="169"/>
      <c r="O91" s="169"/>
    </row>
    <row r="92" spans="2:15" x14ac:dyDescent="0.15">
      <c r="I92" s="169"/>
      <c r="J92" s="169"/>
      <c r="K92" s="169"/>
      <c r="L92" s="169"/>
      <c r="M92" s="169"/>
      <c r="N92" s="169"/>
      <c r="O92" s="169"/>
    </row>
    <row r="93" spans="2:15" x14ac:dyDescent="0.15">
      <c r="I93" s="169"/>
      <c r="J93" s="169"/>
      <c r="K93" s="169"/>
      <c r="L93" s="169"/>
      <c r="M93" s="169"/>
      <c r="N93" s="169"/>
      <c r="O93" s="169"/>
    </row>
    <row r="94" spans="2:15" x14ac:dyDescent="0.15">
      <c r="I94" s="169"/>
      <c r="J94" s="169"/>
      <c r="K94" s="169"/>
      <c r="L94" s="169"/>
      <c r="M94" s="169"/>
      <c r="N94" s="169"/>
      <c r="O94" s="169"/>
    </row>
    <row r="95" spans="2:15" x14ac:dyDescent="0.15">
      <c r="I95" s="169"/>
      <c r="J95" s="169"/>
      <c r="K95" s="169"/>
      <c r="L95" s="169"/>
      <c r="M95" s="169"/>
      <c r="N95" s="169"/>
      <c r="O95" s="169"/>
    </row>
    <row r="96" spans="2:15" x14ac:dyDescent="0.15">
      <c r="I96" s="169"/>
      <c r="J96" s="169"/>
      <c r="K96" s="169"/>
      <c r="L96" s="169"/>
      <c r="M96" s="169"/>
      <c r="N96" s="169"/>
      <c r="O96" s="169"/>
    </row>
    <row r="97" spans="9:15" x14ac:dyDescent="0.15">
      <c r="I97" s="169"/>
      <c r="J97" s="169"/>
      <c r="K97" s="169"/>
      <c r="L97" s="169"/>
      <c r="M97" s="169"/>
      <c r="N97" s="169"/>
      <c r="O97" s="169"/>
    </row>
    <row r="98" spans="9:15" x14ac:dyDescent="0.15">
      <c r="I98" s="169"/>
      <c r="J98" s="169"/>
      <c r="K98" s="169"/>
      <c r="L98" s="169"/>
      <c r="M98" s="169"/>
      <c r="N98" s="169"/>
      <c r="O98" s="169"/>
    </row>
    <row r="99" spans="9:15" x14ac:dyDescent="0.15">
      <c r="I99" s="169"/>
      <c r="J99" s="169"/>
      <c r="K99" s="169"/>
      <c r="L99" s="169"/>
      <c r="M99" s="169"/>
      <c r="N99" s="169"/>
      <c r="O99" s="169"/>
    </row>
    <row r="100" spans="9:15" x14ac:dyDescent="0.15">
      <c r="I100" s="169"/>
      <c r="J100" s="169"/>
      <c r="K100" s="169"/>
      <c r="L100" s="169"/>
      <c r="M100" s="169"/>
      <c r="N100" s="169"/>
      <c r="O100" s="169"/>
    </row>
    <row r="101" spans="9:15" x14ac:dyDescent="0.15">
      <c r="I101" s="169"/>
      <c r="J101" s="169"/>
      <c r="K101" s="169"/>
      <c r="L101" s="169"/>
      <c r="M101" s="169"/>
      <c r="N101" s="169"/>
      <c r="O101" s="169"/>
    </row>
    <row r="102" spans="9:15" x14ac:dyDescent="0.15">
      <c r="I102" s="169"/>
      <c r="J102" s="169"/>
      <c r="K102" s="169"/>
      <c r="L102" s="169"/>
      <c r="M102" s="169"/>
      <c r="N102" s="169"/>
      <c r="O102" s="169"/>
    </row>
    <row r="103" spans="9:15" x14ac:dyDescent="0.15">
      <c r="I103" s="169"/>
      <c r="J103" s="169"/>
      <c r="K103" s="169"/>
      <c r="L103" s="169"/>
      <c r="M103" s="169"/>
      <c r="N103" s="169"/>
      <c r="O103" s="169"/>
    </row>
    <row r="104" spans="9:15" x14ac:dyDescent="0.15">
      <c r="I104" s="169"/>
      <c r="J104" s="169"/>
      <c r="K104" s="169"/>
      <c r="L104" s="169"/>
      <c r="M104" s="169"/>
      <c r="N104" s="169"/>
      <c r="O104" s="169"/>
    </row>
    <row r="105" spans="9:15" x14ac:dyDescent="0.15">
      <c r="I105" s="169"/>
      <c r="J105" s="169"/>
      <c r="K105" s="169"/>
      <c r="L105" s="169"/>
      <c r="M105" s="169"/>
      <c r="N105" s="169"/>
      <c r="O105" s="169"/>
    </row>
    <row r="106" spans="9:15" x14ac:dyDescent="0.15">
      <c r="I106" s="169"/>
      <c r="J106" s="169"/>
      <c r="K106" s="169"/>
      <c r="L106" s="169"/>
      <c r="M106" s="169"/>
      <c r="N106" s="169"/>
      <c r="O106" s="169"/>
    </row>
    <row r="107" spans="9:15" x14ac:dyDescent="0.15">
      <c r="I107" s="169"/>
      <c r="J107" s="169"/>
      <c r="K107" s="169"/>
      <c r="L107" s="169"/>
      <c r="M107" s="169"/>
      <c r="N107" s="169"/>
      <c r="O107" s="169"/>
    </row>
    <row r="108" spans="9:15" x14ac:dyDescent="0.15">
      <c r="I108" s="169"/>
      <c r="J108" s="169"/>
      <c r="K108" s="169"/>
      <c r="L108" s="169"/>
      <c r="M108" s="169"/>
      <c r="N108" s="169"/>
      <c r="O108" s="169"/>
    </row>
    <row r="109" spans="9:15" x14ac:dyDescent="0.15">
      <c r="I109" s="169"/>
      <c r="J109" s="169"/>
      <c r="K109" s="169"/>
      <c r="L109" s="169"/>
      <c r="M109" s="169"/>
      <c r="N109" s="169"/>
      <c r="O109" s="169"/>
    </row>
    <row r="110" spans="9:15" x14ac:dyDescent="0.15">
      <c r="I110" s="169"/>
      <c r="J110" s="169"/>
      <c r="K110" s="169"/>
      <c r="L110" s="169"/>
      <c r="M110" s="169"/>
      <c r="N110" s="169"/>
      <c r="O110" s="169"/>
    </row>
    <row r="111" spans="9:15" x14ac:dyDescent="0.15">
      <c r="I111" s="169"/>
      <c r="J111" s="169"/>
      <c r="K111" s="169"/>
      <c r="L111" s="169"/>
      <c r="M111" s="169"/>
      <c r="N111" s="169"/>
      <c r="O111" s="169"/>
    </row>
    <row r="112" spans="9:15" x14ac:dyDescent="0.15">
      <c r="I112" s="169"/>
      <c r="J112" s="169"/>
      <c r="K112" s="169"/>
      <c r="L112" s="169"/>
      <c r="M112" s="169"/>
      <c r="N112" s="169"/>
      <c r="O112" s="169"/>
    </row>
    <row r="113" spans="9:15" x14ac:dyDescent="0.15">
      <c r="I113" s="169"/>
      <c r="J113" s="169"/>
      <c r="K113" s="169"/>
      <c r="L113" s="169"/>
      <c r="M113" s="169"/>
      <c r="N113" s="169"/>
      <c r="O113" s="169"/>
    </row>
    <row r="114" spans="9:15" x14ac:dyDescent="0.15">
      <c r="I114" s="169"/>
      <c r="J114" s="169"/>
      <c r="K114" s="169"/>
      <c r="L114" s="169"/>
      <c r="M114" s="169"/>
      <c r="N114" s="169"/>
      <c r="O114" s="169"/>
    </row>
    <row r="115" spans="9:15" x14ac:dyDescent="0.15">
      <c r="I115" s="169"/>
      <c r="J115" s="169"/>
      <c r="K115" s="169"/>
      <c r="L115" s="169"/>
      <c r="M115" s="169"/>
      <c r="N115" s="169"/>
      <c r="O115" s="169"/>
    </row>
    <row r="116" spans="9:15" x14ac:dyDescent="0.15">
      <c r="I116" s="169"/>
      <c r="J116" s="169"/>
      <c r="K116" s="169"/>
      <c r="L116" s="169"/>
      <c r="M116" s="169"/>
      <c r="N116" s="169"/>
      <c r="O116" s="169"/>
    </row>
    <row r="117" spans="9:15" x14ac:dyDescent="0.15">
      <c r="I117" s="169"/>
      <c r="J117" s="169"/>
      <c r="K117" s="169"/>
      <c r="L117" s="169"/>
      <c r="M117" s="169"/>
      <c r="N117" s="169"/>
      <c r="O117" s="169"/>
    </row>
    <row r="118" spans="9:15" x14ac:dyDescent="0.15">
      <c r="I118" s="169"/>
      <c r="J118" s="169"/>
      <c r="K118" s="169"/>
      <c r="L118" s="169"/>
      <c r="M118" s="169"/>
      <c r="N118" s="169"/>
      <c r="O118" s="169"/>
    </row>
    <row r="119" spans="9:15" x14ac:dyDescent="0.15">
      <c r="I119" s="169"/>
      <c r="J119" s="169"/>
      <c r="K119" s="169"/>
      <c r="L119" s="169"/>
      <c r="M119" s="169"/>
      <c r="N119" s="169"/>
      <c r="O119" s="169"/>
    </row>
    <row r="120" spans="9:15" x14ac:dyDescent="0.15">
      <c r="I120" s="169"/>
      <c r="J120" s="169"/>
      <c r="K120" s="169"/>
      <c r="L120" s="169"/>
      <c r="M120" s="169"/>
      <c r="N120" s="169"/>
      <c r="O120" s="169"/>
    </row>
    <row r="121" spans="9:15" x14ac:dyDescent="0.15">
      <c r="I121" s="169"/>
      <c r="J121" s="169"/>
      <c r="K121" s="169"/>
      <c r="L121" s="169"/>
      <c r="M121" s="169"/>
      <c r="N121" s="169"/>
      <c r="O121" s="169"/>
    </row>
    <row r="122" spans="9:15" x14ac:dyDescent="0.15">
      <c r="I122" s="169"/>
      <c r="J122" s="169"/>
      <c r="K122" s="169"/>
      <c r="L122" s="169"/>
      <c r="M122" s="169"/>
      <c r="N122" s="169"/>
      <c r="O122" s="169"/>
    </row>
    <row r="123" spans="9:15" x14ac:dyDescent="0.15">
      <c r="I123" s="169"/>
      <c r="J123" s="169"/>
      <c r="K123" s="169"/>
      <c r="L123" s="169"/>
      <c r="M123" s="169"/>
      <c r="N123" s="169"/>
      <c r="O123" s="169"/>
    </row>
    <row r="124" spans="9:15" x14ac:dyDescent="0.15">
      <c r="I124" s="169"/>
      <c r="J124" s="169"/>
      <c r="K124" s="169"/>
      <c r="L124" s="169"/>
      <c r="M124" s="169"/>
      <c r="N124" s="169"/>
      <c r="O124" s="169"/>
    </row>
    <row r="125" spans="9:15" x14ac:dyDescent="0.15">
      <c r="I125" s="169"/>
      <c r="J125" s="169"/>
      <c r="K125" s="169"/>
      <c r="L125" s="169"/>
      <c r="M125" s="169"/>
      <c r="N125" s="169"/>
      <c r="O125" s="169"/>
    </row>
    <row r="126" spans="9:15" x14ac:dyDescent="0.15">
      <c r="I126" s="169"/>
      <c r="J126" s="169"/>
      <c r="K126" s="169"/>
      <c r="L126" s="169"/>
      <c r="M126" s="169"/>
      <c r="N126" s="169"/>
      <c r="O126" s="169"/>
    </row>
    <row r="127" spans="9:15" x14ac:dyDescent="0.15">
      <c r="I127" s="169"/>
      <c r="J127" s="169"/>
      <c r="K127" s="169"/>
      <c r="L127" s="169"/>
      <c r="M127" s="169"/>
      <c r="N127" s="169"/>
      <c r="O127" s="169"/>
    </row>
    <row r="128" spans="9:15" x14ac:dyDescent="0.15">
      <c r="I128" s="169"/>
      <c r="J128" s="169"/>
      <c r="K128" s="169"/>
      <c r="L128" s="169"/>
      <c r="M128" s="169"/>
      <c r="N128" s="169"/>
      <c r="O128" s="169"/>
    </row>
    <row r="129" spans="9:15" x14ac:dyDescent="0.15">
      <c r="I129" s="169"/>
      <c r="J129" s="169"/>
      <c r="K129" s="169"/>
      <c r="L129" s="169"/>
      <c r="M129" s="169"/>
      <c r="N129" s="169"/>
      <c r="O129" s="169"/>
    </row>
    <row r="130" spans="9:15" x14ac:dyDescent="0.15">
      <c r="I130" s="169"/>
      <c r="J130" s="169"/>
      <c r="K130" s="169"/>
      <c r="L130" s="169"/>
      <c r="M130" s="169"/>
      <c r="N130" s="169"/>
      <c r="O130" s="169"/>
    </row>
    <row r="131" spans="9:15" x14ac:dyDescent="0.15">
      <c r="I131" s="169"/>
      <c r="J131" s="169"/>
      <c r="K131" s="169"/>
      <c r="L131" s="169"/>
      <c r="M131" s="169"/>
      <c r="N131" s="169"/>
      <c r="O131" s="169"/>
    </row>
    <row r="132" spans="9:15" x14ac:dyDescent="0.15">
      <c r="I132" s="169"/>
      <c r="J132" s="169"/>
      <c r="K132" s="169"/>
      <c r="L132" s="169"/>
      <c r="M132" s="169"/>
      <c r="N132" s="169"/>
      <c r="O132" s="169"/>
    </row>
    <row r="133" spans="9:15" x14ac:dyDescent="0.15">
      <c r="I133" s="169"/>
      <c r="J133" s="169"/>
      <c r="K133" s="169"/>
      <c r="L133" s="169"/>
      <c r="M133" s="169"/>
      <c r="N133" s="169"/>
      <c r="O133" s="169"/>
    </row>
    <row r="134" spans="9:15" x14ac:dyDescent="0.15">
      <c r="I134" s="169"/>
      <c r="J134" s="169"/>
      <c r="K134" s="169"/>
      <c r="L134" s="169"/>
      <c r="M134" s="169"/>
      <c r="N134" s="169"/>
      <c r="O134" s="169"/>
    </row>
    <row r="135" spans="9:15" x14ac:dyDescent="0.15">
      <c r="I135" s="169"/>
      <c r="J135" s="169"/>
      <c r="K135" s="169"/>
      <c r="L135" s="169"/>
      <c r="M135" s="169"/>
      <c r="N135" s="169"/>
      <c r="O135" s="169"/>
    </row>
    <row r="136" spans="9:15" x14ac:dyDescent="0.15">
      <c r="I136" s="169"/>
      <c r="J136" s="169"/>
      <c r="K136" s="169"/>
      <c r="L136" s="169"/>
      <c r="M136" s="169"/>
      <c r="N136" s="169"/>
      <c r="O136" s="169"/>
    </row>
    <row r="137" spans="9:15" x14ac:dyDescent="0.15">
      <c r="I137" s="169"/>
      <c r="J137" s="169"/>
      <c r="K137" s="169"/>
      <c r="L137" s="169"/>
      <c r="M137" s="169"/>
      <c r="N137" s="169"/>
      <c r="O137" s="169"/>
    </row>
    <row r="138" spans="9:15" x14ac:dyDescent="0.15">
      <c r="I138" s="169"/>
      <c r="J138" s="169"/>
      <c r="K138" s="169"/>
      <c r="L138" s="169"/>
      <c r="M138" s="169"/>
      <c r="N138" s="169"/>
      <c r="O138" s="169"/>
    </row>
    <row r="139" spans="9:15" x14ac:dyDescent="0.15">
      <c r="I139" s="169"/>
      <c r="J139" s="169"/>
      <c r="K139" s="169"/>
      <c r="L139" s="169"/>
      <c r="M139" s="169"/>
      <c r="N139" s="169"/>
    </row>
    <row r="140" spans="9:15" x14ac:dyDescent="0.15">
      <c r="I140" s="169"/>
      <c r="J140" s="169"/>
      <c r="K140" s="169"/>
      <c r="L140" s="169"/>
      <c r="M140" s="169"/>
      <c r="N140" s="169"/>
    </row>
    <row r="141" spans="9:15" x14ac:dyDescent="0.15">
      <c r="I141" s="169"/>
      <c r="J141" s="169"/>
      <c r="K141" s="169"/>
      <c r="L141" s="169"/>
      <c r="M141" s="169"/>
      <c r="N141" s="169"/>
    </row>
    <row r="142" spans="9:15" x14ac:dyDescent="0.15">
      <c r="I142" s="169"/>
      <c r="J142" s="169"/>
      <c r="K142" s="169"/>
      <c r="L142" s="169"/>
      <c r="M142" s="169"/>
      <c r="N142" s="169"/>
    </row>
    <row r="143" spans="9:15" x14ac:dyDescent="0.15">
      <c r="I143" s="169"/>
      <c r="J143" s="169"/>
      <c r="K143" s="169"/>
      <c r="L143" s="169"/>
      <c r="M143" s="169"/>
      <c r="N143" s="169"/>
    </row>
    <row r="144" spans="9:15" x14ac:dyDescent="0.15">
      <c r="I144" s="169"/>
      <c r="J144" s="169"/>
      <c r="K144" s="169"/>
      <c r="L144" s="169"/>
      <c r="M144" s="169"/>
      <c r="N144" s="169"/>
    </row>
    <row r="145" spans="9:14" x14ac:dyDescent="0.15">
      <c r="I145" s="169"/>
      <c r="J145" s="169"/>
      <c r="K145" s="169"/>
      <c r="L145" s="169"/>
      <c r="M145" s="169"/>
      <c r="N145" s="169"/>
    </row>
    <row r="146" spans="9:14" x14ac:dyDescent="0.15">
      <c r="I146" s="169"/>
      <c r="J146" s="169"/>
      <c r="K146" s="169"/>
      <c r="L146" s="169"/>
      <c r="M146" s="169"/>
      <c r="N146" s="169"/>
    </row>
    <row r="147" spans="9:14" x14ac:dyDescent="0.15">
      <c r="I147" s="169"/>
      <c r="J147" s="169"/>
      <c r="K147" s="169"/>
      <c r="L147" s="169"/>
      <c r="M147" s="169"/>
      <c r="N147" s="169"/>
    </row>
    <row r="148" spans="9:14" x14ac:dyDescent="0.15">
      <c r="I148" s="169"/>
      <c r="J148" s="169"/>
      <c r="K148" s="169"/>
      <c r="L148" s="169"/>
      <c r="M148" s="169"/>
      <c r="N148" s="169"/>
    </row>
    <row r="149" spans="9:14" x14ac:dyDescent="0.15">
      <c r="I149" s="169"/>
      <c r="J149" s="169"/>
      <c r="K149" s="169"/>
      <c r="L149" s="169"/>
      <c r="M149" s="169"/>
      <c r="N149" s="169"/>
    </row>
    <row r="150" spans="9:14" x14ac:dyDescent="0.15">
      <c r="I150" s="169"/>
      <c r="J150" s="169"/>
      <c r="K150" s="169"/>
      <c r="L150" s="169"/>
      <c r="M150" s="169"/>
      <c r="N150" s="169"/>
    </row>
    <row r="151" spans="9:14" x14ac:dyDescent="0.15">
      <c r="I151" s="169"/>
      <c r="J151" s="169"/>
      <c r="K151" s="169"/>
      <c r="L151" s="169"/>
      <c r="M151" s="169"/>
      <c r="N151" s="169"/>
    </row>
    <row r="152" spans="9:14" x14ac:dyDescent="0.15">
      <c r="I152" s="169"/>
      <c r="J152" s="169"/>
      <c r="K152" s="169"/>
      <c r="L152" s="169"/>
      <c r="M152" s="169"/>
      <c r="N152" s="169"/>
    </row>
    <row r="153" spans="9:14" x14ac:dyDescent="0.15">
      <c r="I153" s="169"/>
      <c r="J153" s="169"/>
      <c r="K153" s="169"/>
      <c r="L153" s="169"/>
      <c r="M153" s="169"/>
      <c r="N153" s="169"/>
    </row>
    <row r="154" spans="9:14" x14ac:dyDescent="0.15">
      <c r="I154" s="169"/>
      <c r="J154" s="169"/>
      <c r="K154" s="169"/>
      <c r="L154" s="169"/>
      <c r="M154" s="169"/>
      <c r="N154" s="169"/>
    </row>
    <row r="155" spans="9:14" x14ac:dyDescent="0.15">
      <c r="J155" s="169"/>
      <c r="K155" s="169"/>
      <c r="L155" s="169"/>
      <c r="M155" s="169"/>
      <c r="N155" s="169"/>
    </row>
    <row r="156" spans="9:14" x14ac:dyDescent="0.15">
      <c r="J156" s="169"/>
      <c r="K156" s="169"/>
      <c r="L156" s="169"/>
      <c r="M156" s="169"/>
      <c r="N156" s="169"/>
    </row>
    <row r="172" spans="15:15" x14ac:dyDescent="0.15">
      <c r="O172" s="169"/>
    </row>
    <row r="173" spans="15:15" x14ac:dyDescent="0.15">
      <c r="O173" s="169"/>
    </row>
    <row r="174" spans="15:15" x14ac:dyDescent="0.15">
      <c r="O174" s="169"/>
    </row>
    <row r="175" spans="15:15" x14ac:dyDescent="0.15">
      <c r="O175" s="169"/>
    </row>
    <row r="176" spans="15:15" x14ac:dyDescent="0.15">
      <c r="O176" s="169"/>
    </row>
    <row r="177" spans="15:15" x14ac:dyDescent="0.15">
      <c r="O177" s="169"/>
    </row>
    <row r="178" spans="15:15" x14ac:dyDescent="0.15">
      <c r="O178" s="169"/>
    </row>
    <row r="179" spans="15:15" x14ac:dyDescent="0.15">
      <c r="O179" s="169"/>
    </row>
    <row r="180" spans="15:15" x14ac:dyDescent="0.15">
      <c r="O180" s="169"/>
    </row>
    <row r="181" spans="15:15" x14ac:dyDescent="0.15">
      <c r="O181" s="169"/>
    </row>
    <row r="182" spans="15:15" x14ac:dyDescent="0.15">
      <c r="O182" s="169"/>
    </row>
    <row r="183" spans="15:15" x14ac:dyDescent="0.15">
      <c r="O183" s="169"/>
    </row>
    <row r="184" spans="15:15" x14ac:dyDescent="0.15">
      <c r="O184" s="169"/>
    </row>
    <row r="185" spans="15:15" x14ac:dyDescent="0.15">
      <c r="O185" s="169"/>
    </row>
    <row r="186" spans="15:15" x14ac:dyDescent="0.15">
      <c r="O186" s="169"/>
    </row>
    <row r="187" spans="15:15" x14ac:dyDescent="0.15">
      <c r="O187" s="169"/>
    </row>
    <row r="188" spans="15:15" x14ac:dyDescent="0.15">
      <c r="O188" s="169"/>
    </row>
    <row r="189" spans="15:15" x14ac:dyDescent="0.15">
      <c r="O189" s="169"/>
    </row>
    <row r="190" spans="15:15" x14ac:dyDescent="0.15">
      <c r="O190" s="169"/>
    </row>
    <row r="191" spans="15:15" x14ac:dyDescent="0.15">
      <c r="O191" s="169"/>
    </row>
  </sheetData>
  <mergeCells count="72">
    <mergeCell ref="P57:Q57"/>
    <mergeCell ref="Q45:Q49"/>
    <mergeCell ref="Q51:Q55"/>
    <mergeCell ref="P45:P56"/>
    <mergeCell ref="P38:P44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B54:B57"/>
    <mergeCell ref="B5:B7"/>
    <mergeCell ref="B8:B11"/>
    <mergeCell ref="B12:B16"/>
    <mergeCell ref="B21:B24"/>
    <mergeCell ref="B17:B20"/>
    <mergeCell ref="B28:B36"/>
    <mergeCell ref="B37:B51"/>
    <mergeCell ref="B52:B53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I51:I54"/>
    <mergeCell ref="I55:I56"/>
    <mergeCell ref="K55:L55"/>
    <mergeCell ref="K56:L56"/>
    <mergeCell ref="I43:I46"/>
    <mergeCell ref="I47:I50"/>
    <mergeCell ref="K34:L34"/>
    <mergeCell ref="K35:L35"/>
    <mergeCell ref="K36:L36"/>
    <mergeCell ref="K39:L39"/>
    <mergeCell ref="K40:L40"/>
    <mergeCell ref="Q37:R37"/>
    <mergeCell ref="K51:L51"/>
    <mergeCell ref="K52:L52"/>
    <mergeCell ref="K53:L53"/>
    <mergeCell ref="K54:L54"/>
    <mergeCell ref="K50:L50"/>
    <mergeCell ref="K47:L47"/>
    <mergeCell ref="K48:L48"/>
    <mergeCell ref="K49:L49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75" zoomScaleNormal="75" zoomScaleSheetLayoutView="100" workbookViewId="0">
      <selection activeCell="S30" sqref="S30"/>
    </sheetView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447</v>
      </c>
    </row>
    <row r="3" spans="2:15" ht="20.25" customHeight="1" x14ac:dyDescent="0.15">
      <c r="D3" s="105" t="s">
        <v>198</v>
      </c>
      <c r="E3" s="104" t="s">
        <v>377</v>
      </c>
      <c r="F3" s="104"/>
      <c r="G3" s="105" t="s">
        <v>199</v>
      </c>
      <c r="H3" s="270" t="s">
        <v>391</v>
      </c>
      <c r="I3" s="104"/>
    </row>
    <row r="4" spans="2:15" ht="20.25" customHeight="1" thickBot="1" x14ac:dyDescent="0.2">
      <c r="B4" s="5" t="s">
        <v>376</v>
      </c>
      <c r="C4" s="5" t="s">
        <v>212</v>
      </c>
      <c r="D4" s="5"/>
      <c r="E4" s="30" t="s">
        <v>378</v>
      </c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25" customHeight="1" x14ac:dyDescent="0.15">
      <c r="B5" s="348" t="s">
        <v>256</v>
      </c>
      <c r="C5" s="350">
        <v>1</v>
      </c>
      <c r="D5" s="350">
        <v>2</v>
      </c>
      <c r="E5" s="350">
        <v>3</v>
      </c>
      <c r="F5" s="350">
        <v>4</v>
      </c>
      <c r="G5" s="350">
        <v>5</v>
      </c>
      <c r="H5" s="350">
        <v>6</v>
      </c>
      <c r="I5" s="350">
        <v>7</v>
      </c>
      <c r="J5" s="350">
        <v>8</v>
      </c>
      <c r="K5" s="350">
        <v>9</v>
      </c>
      <c r="L5" s="350">
        <v>10</v>
      </c>
      <c r="M5" s="350">
        <v>11</v>
      </c>
      <c r="N5" s="350">
        <v>12</v>
      </c>
      <c r="O5" s="143" t="s">
        <v>213</v>
      </c>
    </row>
    <row r="6" spans="2:15" ht="20.25" customHeight="1" x14ac:dyDescent="0.15">
      <c r="B6" s="351" t="s">
        <v>375</v>
      </c>
      <c r="C6" s="298">
        <v>67</v>
      </c>
      <c r="D6" s="298">
        <v>55</v>
      </c>
      <c r="E6" s="298">
        <v>67</v>
      </c>
      <c r="F6" s="298">
        <v>51</v>
      </c>
      <c r="G6" s="298">
        <v>45</v>
      </c>
      <c r="H6" s="298">
        <v>46</v>
      </c>
      <c r="I6" s="298">
        <v>43</v>
      </c>
      <c r="J6" s="298">
        <v>62</v>
      </c>
      <c r="K6" s="298">
        <v>57</v>
      </c>
      <c r="L6" s="298">
        <v>61</v>
      </c>
      <c r="M6" s="298">
        <v>57</v>
      </c>
      <c r="N6" s="298">
        <v>64</v>
      </c>
      <c r="O6" s="399">
        <f>SUM(C6:N6)/12</f>
        <v>56.25</v>
      </c>
    </row>
    <row r="7" spans="2:15" ht="20.25" customHeight="1" x14ac:dyDescent="0.15">
      <c r="B7" s="351" t="s">
        <v>374</v>
      </c>
      <c r="C7" s="298">
        <v>62</v>
      </c>
      <c r="D7" s="298">
        <v>59</v>
      </c>
      <c r="E7" s="298">
        <v>66</v>
      </c>
      <c r="F7" s="298">
        <v>59</v>
      </c>
      <c r="G7" s="298">
        <v>55</v>
      </c>
      <c r="H7" s="298">
        <v>59</v>
      </c>
      <c r="I7" s="298">
        <v>68</v>
      </c>
      <c r="J7" s="298">
        <v>70</v>
      </c>
      <c r="K7" s="298">
        <v>66</v>
      </c>
      <c r="L7" s="298">
        <v>50</v>
      </c>
      <c r="M7" s="298">
        <v>62</v>
      </c>
      <c r="N7" s="298">
        <v>62</v>
      </c>
      <c r="O7" s="399">
        <f t="shared" ref="O7:O10" si="0">SUM(C7:N7)/12</f>
        <v>61.5</v>
      </c>
    </row>
    <row r="8" spans="2:15" ht="20.25" customHeight="1" x14ac:dyDescent="0.15">
      <c r="B8" s="351" t="s">
        <v>373</v>
      </c>
      <c r="C8" s="298">
        <v>68</v>
      </c>
      <c r="D8" s="298">
        <v>56</v>
      </c>
      <c r="E8" s="298">
        <v>51</v>
      </c>
      <c r="F8" s="298">
        <v>49</v>
      </c>
      <c r="G8" s="298">
        <v>44</v>
      </c>
      <c r="H8" s="298">
        <v>49</v>
      </c>
      <c r="I8" s="298">
        <v>55</v>
      </c>
      <c r="J8" s="298">
        <v>59</v>
      </c>
      <c r="K8" s="298">
        <v>58</v>
      </c>
      <c r="L8" s="298">
        <v>66</v>
      </c>
      <c r="M8" s="298">
        <v>48</v>
      </c>
      <c r="N8" s="298">
        <v>57</v>
      </c>
      <c r="O8" s="399">
        <f t="shared" si="0"/>
        <v>55</v>
      </c>
    </row>
    <row r="9" spans="2:15" ht="20.25" customHeight="1" x14ac:dyDescent="0.15">
      <c r="B9" s="351" t="s">
        <v>372</v>
      </c>
      <c r="C9" s="298">
        <v>55</v>
      </c>
      <c r="D9" s="298">
        <v>71</v>
      </c>
      <c r="E9" s="298">
        <v>62</v>
      </c>
      <c r="F9" s="298">
        <v>69</v>
      </c>
      <c r="G9" s="298">
        <v>52</v>
      </c>
      <c r="H9" s="298">
        <v>39</v>
      </c>
      <c r="I9" s="298">
        <v>32</v>
      </c>
      <c r="J9" s="298">
        <v>70</v>
      </c>
      <c r="K9" s="298">
        <v>61</v>
      </c>
      <c r="L9" s="298">
        <v>49</v>
      </c>
      <c r="M9" s="298">
        <v>51</v>
      </c>
      <c r="N9" s="298">
        <v>67</v>
      </c>
      <c r="O9" s="399">
        <f t="shared" si="0"/>
        <v>56.5</v>
      </c>
    </row>
    <row r="10" spans="2:15" ht="20.25" customHeight="1" x14ac:dyDescent="0.15">
      <c r="B10" s="351" t="s">
        <v>371</v>
      </c>
      <c r="C10" s="298">
        <v>64</v>
      </c>
      <c r="D10" s="298">
        <v>61</v>
      </c>
      <c r="E10" s="298">
        <v>55</v>
      </c>
      <c r="F10" s="298">
        <v>46</v>
      </c>
      <c r="G10" s="298">
        <v>48</v>
      </c>
      <c r="H10" s="298">
        <v>54</v>
      </c>
      <c r="I10" s="298">
        <v>50</v>
      </c>
      <c r="J10" s="298">
        <v>60</v>
      </c>
      <c r="K10" s="298">
        <v>59</v>
      </c>
      <c r="L10" s="298">
        <v>58</v>
      </c>
      <c r="M10" s="298">
        <v>66</v>
      </c>
      <c r="N10" s="298">
        <v>61</v>
      </c>
      <c r="O10" s="399">
        <f t="shared" si="0"/>
        <v>56.833333333333336</v>
      </c>
    </row>
    <row r="11" spans="2:15" ht="20.25" customHeight="1" thickBot="1" x14ac:dyDescent="0.2">
      <c r="B11" s="349" t="s">
        <v>214</v>
      </c>
      <c r="C11" s="64">
        <f>AVERAGE(C6:C10)</f>
        <v>63.2</v>
      </c>
      <c r="D11" s="64">
        <f t="shared" ref="D11:O11" si="1">AVERAGE(D6:D10)</f>
        <v>60.4</v>
      </c>
      <c r="E11" s="64">
        <f t="shared" si="1"/>
        <v>60.2</v>
      </c>
      <c r="F11" s="64">
        <f t="shared" si="1"/>
        <v>54.8</v>
      </c>
      <c r="G11" s="64">
        <f t="shared" si="1"/>
        <v>48.8</v>
      </c>
      <c r="H11" s="64">
        <f t="shared" si="1"/>
        <v>49.4</v>
      </c>
      <c r="I11" s="64">
        <f t="shared" si="1"/>
        <v>49.6</v>
      </c>
      <c r="J11" s="64">
        <f t="shared" si="1"/>
        <v>64.2</v>
      </c>
      <c r="K11" s="64">
        <f t="shared" si="1"/>
        <v>60.2</v>
      </c>
      <c r="L11" s="64">
        <f t="shared" si="1"/>
        <v>56.8</v>
      </c>
      <c r="M11" s="64">
        <f t="shared" si="1"/>
        <v>56.8</v>
      </c>
      <c r="N11" s="64">
        <f t="shared" si="1"/>
        <v>62.2</v>
      </c>
      <c r="O11" s="66">
        <f t="shared" si="1"/>
        <v>57.216666666666661</v>
      </c>
    </row>
    <row r="12" spans="2:15" ht="20.25" customHeight="1" x14ac:dyDescent="0.15"/>
    <row r="13" spans="2:15" ht="20.25" customHeight="1" thickBot="1" x14ac:dyDescent="0.2">
      <c r="B13" s="5" t="s">
        <v>376</v>
      </c>
      <c r="C13" s="5" t="s">
        <v>379</v>
      </c>
      <c r="D13" s="5"/>
      <c r="E13" s="30" t="s">
        <v>380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25" customHeight="1" x14ac:dyDescent="0.15">
      <c r="B14" s="348" t="s">
        <v>256</v>
      </c>
      <c r="C14" s="350">
        <v>1</v>
      </c>
      <c r="D14" s="350">
        <v>2</v>
      </c>
      <c r="E14" s="350">
        <v>3</v>
      </c>
      <c r="F14" s="350">
        <v>4</v>
      </c>
      <c r="G14" s="350">
        <v>5</v>
      </c>
      <c r="H14" s="350">
        <v>6</v>
      </c>
      <c r="I14" s="350">
        <v>7</v>
      </c>
      <c r="J14" s="350">
        <v>8</v>
      </c>
      <c r="K14" s="350">
        <v>9</v>
      </c>
      <c r="L14" s="350">
        <v>10</v>
      </c>
      <c r="M14" s="350">
        <v>11</v>
      </c>
      <c r="N14" s="350">
        <v>12</v>
      </c>
      <c r="O14" s="143" t="s">
        <v>213</v>
      </c>
    </row>
    <row r="15" spans="2:15" ht="20.25" customHeight="1" x14ac:dyDescent="0.15">
      <c r="B15" s="351" t="s">
        <v>375</v>
      </c>
      <c r="C15" s="298">
        <v>31</v>
      </c>
      <c r="D15" s="298">
        <v>37</v>
      </c>
      <c r="E15" s="298">
        <v>39</v>
      </c>
      <c r="F15" s="298">
        <v>28</v>
      </c>
      <c r="G15" s="298">
        <v>29</v>
      </c>
      <c r="H15" s="298">
        <v>45</v>
      </c>
      <c r="I15" s="298">
        <v>32</v>
      </c>
      <c r="J15" s="298">
        <v>41</v>
      </c>
      <c r="K15" s="298">
        <v>37</v>
      </c>
      <c r="L15" s="298">
        <v>40</v>
      </c>
      <c r="M15" s="298">
        <v>29</v>
      </c>
      <c r="N15" s="298">
        <v>35</v>
      </c>
      <c r="O15" s="399">
        <f t="shared" ref="O15:O19" si="2">SUM(C15:N15)/12</f>
        <v>35.25</v>
      </c>
    </row>
    <row r="16" spans="2:15" ht="20.25" customHeight="1" x14ac:dyDescent="0.15">
      <c r="B16" s="351" t="s">
        <v>374</v>
      </c>
      <c r="C16" s="298">
        <v>33</v>
      </c>
      <c r="D16" s="298">
        <v>36</v>
      </c>
      <c r="E16" s="298">
        <v>40</v>
      </c>
      <c r="F16" s="298">
        <v>31</v>
      </c>
      <c r="G16" s="298">
        <v>35</v>
      </c>
      <c r="H16" s="298">
        <v>40</v>
      </c>
      <c r="I16" s="298">
        <v>50</v>
      </c>
      <c r="J16" s="298">
        <v>45</v>
      </c>
      <c r="K16" s="298">
        <v>46</v>
      </c>
      <c r="L16" s="298">
        <v>31</v>
      </c>
      <c r="M16" s="298">
        <v>32</v>
      </c>
      <c r="N16" s="298">
        <v>39</v>
      </c>
      <c r="O16" s="399">
        <f t="shared" si="2"/>
        <v>38.166666666666664</v>
      </c>
    </row>
    <row r="17" spans="2:15" ht="20.25" customHeight="1" x14ac:dyDescent="0.15">
      <c r="B17" s="351" t="s">
        <v>373</v>
      </c>
      <c r="C17" s="298">
        <v>43</v>
      </c>
      <c r="D17" s="298">
        <v>36</v>
      </c>
      <c r="E17" s="298">
        <v>36</v>
      </c>
      <c r="F17" s="298">
        <v>31</v>
      </c>
      <c r="G17" s="298">
        <v>27</v>
      </c>
      <c r="H17" s="298">
        <v>40</v>
      </c>
      <c r="I17" s="298">
        <v>35</v>
      </c>
      <c r="J17" s="298">
        <v>39</v>
      </c>
      <c r="K17" s="298">
        <v>38</v>
      </c>
      <c r="L17" s="298">
        <v>51</v>
      </c>
      <c r="M17" s="298">
        <v>29</v>
      </c>
      <c r="N17" s="298">
        <v>38</v>
      </c>
      <c r="O17" s="399">
        <f t="shared" si="2"/>
        <v>36.916666666666664</v>
      </c>
    </row>
    <row r="18" spans="2:15" ht="20.25" customHeight="1" x14ac:dyDescent="0.15">
      <c r="B18" s="351" t="s">
        <v>372</v>
      </c>
      <c r="C18" s="298">
        <v>29</v>
      </c>
      <c r="D18" s="298">
        <v>40</v>
      </c>
      <c r="E18" s="298">
        <v>41</v>
      </c>
      <c r="F18" s="298">
        <v>33</v>
      </c>
      <c r="G18" s="298">
        <v>32</v>
      </c>
      <c r="H18" s="298">
        <v>30</v>
      </c>
      <c r="I18" s="298">
        <v>25</v>
      </c>
      <c r="J18" s="298">
        <v>45</v>
      </c>
      <c r="K18" s="298">
        <v>37</v>
      </c>
      <c r="L18" s="298">
        <v>34</v>
      </c>
      <c r="M18" s="298">
        <v>33</v>
      </c>
      <c r="N18" s="298">
        <v>48</v>
      </c>
      <c r="O18" s="399">
        <f t="shared" si="2"/>
        <v>35.583333333333336</v>
      </c>
    </row>
    <row r="19" spans="2:15" ht="20.25" customHeight="1" x14ac:dyDescent="0.15">
      <c r="B19" s="351" t="s">
        <v>371</v>
      </c>
      <c r="C19" s="298">
        <v>35</v>
      </c>
      <c r="D19" s="298">
        <v>27</v>
      </c>
      <c r="E19" s="298">
        <v>31</v>
      </c>
      <c r="F19" s="298">
        <v>35</v>
      </c>
      <c r="G19" s="298">
        <v>29</v>
      </c>
      <c r="H19" s="298">
        <v>41</v>
      </c>
      <c r="I19" s="298">
        <v>32</v>
      </c>
      <c r="J19" s="298">
        <v>39</v>
      </c>
      <c r="K19" s="298">
        <v>37</v>
      </c>
      <c r="L19" s="298">
        <v>43</v>
      </c>
      <c r="M19" s="298">
        <v>45</v>
      </c>
      <c r="N19" s="298">
        <v>35</v>
      </c>
      <c r="O19" s="399">
        <f t="shared" si="2"/>
        <v>35.75</v>
      </c>
    </row>
    <row r="20" spans="2:15" ht="20.25" customHeight="1" thickBot="1" x14ac:dyDescent="0.2">
      <c r="B20" s="349" t="s">
        <v>214</v>
      </c>
      <c r="C20" s="64">
        <f>AVERAGE(C15:C19)</f>
        <v>34.200000000000003</v>
      </c>
      <c r="D20" s="64">
        <f t="shared" ref="D20" si="3">AVERAGE(D15:D19)</f>
        <v>35.200000000000003</v>
      </c>
      <c r="E20" s="64">
        <f t="shared" ref="E20" si="4">AVERAGE(E15:E19)</f>
        <v>37.4</v>
      </c>
      <c r="F20" s="64">
        <f t="shared" ref="F20" si="5">AVERAGE(F15:F19)</f>
        <v>31.6</v>
      </c>
      <c r="G20" s="64">
        <f t="shared" ref="G20" si="6">AVERAGE(G15:G19)</f>
        <v>30.4</v>
      </c>
      <c r="H20" s="64">
        <f t="shared" ref="H20" si="7">AVERAGE(H15:H19)</f>
        <v>39.200000000000003</v>
      </c>
      <c r="I20" s="64">
        <f t="shared" ref="I20" si="8">AVERAGE(I15:I19)</f>
        <v>34.799999999999997</v>
      </c>
      <c r="J20" s="64">
        <f t="shared" ref="J20" si="9">AVERAGE(J15:J19)</f>
        <v>41.8</v>
      </c>
      <c r="K20" s="64">
        <f t="shared" ref="K20" si="10">AVERAGE(K15:K19)</f>
        <v>39</v>
      </c>
      <c r="L20" s="64">
        <f t="shared" ref="L20" si="11">AVERAGE(L15:L19)</f>
        <v>39.799999999999997</v>
      </c>
      <c r="M20" s="64">
        <f t="shared" ref="M20" si="12">AVERAGE(M15:M19)</f>
        <v>33.6</v>
      </c>
      <c r="N20" s="64">
        <f t="shared" ref="N20" si="13">AVERAGE(N15:N19)</f>
        <v>39</v>
      </c>
      <c r="O20" s="66">
        <f t="shared" ref="O20" si="14">AVERAGE(O15:O19)</f>
        <v>36.333333333333329</v>
      </c>
    </row>
    <row r="21" spans="2:15" ht="20.100000000000001" customHeight="1" x14ac:dyDescent="0.15"/>
    <row r="22" spans="2:15" ht="20.100000000000001" customHeight="1" x14ac:dyDescent="0.15">
      <c r="B22" s="30" t="s">
        <v>446</v>
      </c>
      <c r="I22" s="31"/>
      <c r="J22" s="31"/>
      <c r="K22" s="31"/>
      <c r="L22" s="31"/>
    </row>
    <row r="23" spans="2:15" ht="20.100000000000001" customHeight="1" x14ac:dyDescent="0.15">
      <c r="I23" s="31"/>
      <c r="J23" s="31"/>
      <c r="K23" s="31"/>
      <c r="L23" s="31"/>
    </row>
    <row r="24" spans="2:15" ht="20.100000000000001" customHeight="1" x14ac:dyDescent="0.15"/>
    <row r="25" spans="2:15" ht="20.100000000000001" customHeight="1" x14ac:dyDescent="0.15"/>
    <row r="26" spans="2:15" ht="20.100000000000001" customHeight="1" x14ac:dyDescent="0.15"/>
    <row r="27" spans="2:15" ht="20.100000000000001" customHeight="1" x14ac:dyDescent="0.15"/>
    <row r="28" spans="2:15" ht="20.100000000000001" customHeight="1" x14ac:dyDescent="0.15"/>
    <row r="29" spans="2:15" ht="20.100000000000001" customHeight="1" x14ac:dyDescent="0.15"/>
    <row r="30" spans="2:15" ht="20.100000000000001" customHeight="1" x14ac:dyDescent="0.15"/>
    <row r="31" spans="2:15" ht="20.100000000000001" customHeight="1" x14ac:dyDescent="0.15"/>
    <row r="32" spans="2:1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キク標準技術</vt:lpstr>
      <vt:lpstr>４　経営収支</vt:lpstr>
      <vt:lpstr>５　きく作業時間</vt:lpstr>
      <vt:lpstr>６　固定資本装備と減価償却費</vt:lpstr>
      <vt:lpstr>７　きく部門収支</vt:lpstr>
      <vt:lpstr>８　きく算出基礎</vt:lpstr>
      <vt:lpstr>９　きく単価算出基礎</vt:lpstr>
      <vt:lpstr>'４　経営収支'!Print_Area</vt:lpstr>
      <vt:lpstr>'５　きく作業時間'!Print_Area</vt:lpstr>
      <vt:lpstr>'６　固定資本装備と減価償却費'!Print_Area</vt:lpstr>
      <vt:lpstr>'７　きく部門収支'!Print_Area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2015-03-03T09:15:05Z</cp:lastPrinted>
  <dcterms:created xsi:type="dcterms:W3CDTF">2005-02-26T02:20:11Z</dcterms:created>
  <dcterms:modified xsi:type="dcterms:W3CDTF">2015-03-24T05:48:37Z</dcterms:modified>
</cp:coreProperties>
</file>