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105" yWindow="-15" windowWidth="11910" windowHeight="9000" tabRatio="811"/>
  </bookViews>
  <sheets>
    <sheet name="１　対象経営の概要，２　前提条件 (2)" sheetId="43" r:id="rId1"/>
    <sheet name="３－１　標準技術 (採草)" sheetId="44" r:id="rId2"/>
    <sheet name="３－２　標準技術 (放牧)" sheetId="45" r:id="rId3"/>
    <sheet name="３－３　標準技術（稲ワラ）" sheetId="24" r:id="rId4"/>
    <sheet name="４　経営収支" sheetId="22" r:id="rId5"/>
    <sheet name="５　繁殖・肥育作業時間計 " sheetId="52" r:id="rId6"/>
    <sheet name="６　固定資本装備と減価償却費 " sheetId="46" r:id="rId7"/>
    <sheet name="７　一貫経営収支" sheetId="47" r:id="rId8"/>
    <sheet name="８　一貫経営算出基礎" sheetId="50" r:id="rId9"/>
  </sheets>
  <definedNames>
    <definedName name="_a1" localSheetId="1" hidden="1">#REF!</definedName>
    <definedName name="_a1" localSheetId="2" hidden="1">#REF!</definedName>
    <definedName name="_a1" localSheetId="5" hidden="1">#REF!</definedName>
    <definedName name="_a1" localSheetId="6" hidden="1">#REF!</definedName>
    <definedName name="_a1" localSheetId="7" hidden="1">#REF!</definedName>
    <definedName name="_a1" localSheetId="8" hidden="1">#REF!</definedName>
    <definedName name="_a1" hidden="1">#REF!</definedName>
    <definedName name="_a2" localSheetId="1" hidden="1">#REF!</definedName>
    <definedName name="_a2" localSheetId="2" hidden="1">#REF!</definedName>
    <definedName name="_a2" localSheetId="5" hidden="1">#REF!</definedName>
    <definedName name="_a2" localSheetId="6" hidden="1">#REF!</definedName>
    <definedName name="_a2" localSheetId="7" hidden="1">#REF!</definedName>
    <definedName name="_a2" localSheetId="8" hidden="1">#REF!</definedName>
    <definedName name="_a2" hidden="1">#REF!</definedName>
    <definedName name="_a3" localSheetId="1" hidden="1">#REF!</definedName>
    <definedName name="_a3" localSheetId="2" hidden="1">#REF!</definedName>
    <definedName name="_a3" localSheetId="5" hidden="1">#REF!</definedName>
    <definedName name="_a3" localSheetId="6" hidden="1">#REF!</definedName>
    <definedName name="_a3" localSheetId="7" hidden="1">#REF!</definedName>
    <definedName name="_a3" localSheetId="8" hidden="1">#REF!</definedName>
    <definedName name="_a3" hidden="1">#REF!</definedName>
    <definedName name="_a4" localSheetId="1" hidden="1">#REF!</definedName>
    <definedName name="_a4" localSheetId="2" hidden="1">#REF!</definedName>
    <definedName name="_a4" localSheetId="5" hidden="1">#REF!</definedName>
    <definedName name="_a4" localSheetId="6" hidden="1">#REF!</definedName>
    <definedName name="_a4" localSheetId="7" hidden="1">#REF!</definedName>
    <definedName name="_a4" localSheetId="8" hidden="1">#REF!</definedName>
    <definedName name="_a4" hidden="1">#REF!</definedName>
    <definedName name="_a5" localSheetId="1" hidden="1">#REF!</definedName>
    <definedName name="_a5" localSheetId="2" hidden="1">#REF!</definedName>
    <definedName name="_a5" localSheetId="5" hidden="1">#REF!</definedName>
    <definedName name="_a5" localSheetId="6" hidden="1">#REF!</definedName>
    <definedName name="_a5" localSheetId="7" hidden="1">#REF!</definedName>
    <definedName name="_a5" localSheetId="8" hidden="1">#REF!</definedName>
    <definedName name="_a5" hidden="1">#REF!</definedName>
    <definedName name="_a6" localSheetId="1" hidden="1">#REF!</definedName>
    <definedName name="_a6" localSheetId="2" hidden="1">#REF!</definedName>
    <definedName name="_a6" localSheetId="5" hidden="1">#REF!</definedName>
    <definedName name="_a6" localSheetId="6" hidden="1">#REF!</definedName>
    <definedName name="_a6" localSheetId="7" hidden="1">#REF!</definedName>
    <definedName name="_a6" localSheetId="8" hidden="1">#REF!</definedName>
    <definedName name="_a6" hidden="1">#REF!</definedName>
    <definedName name="_a7" localSheetId="1" hidden="1">#REF!</definedName>
    <definedName name="_a7" localSheetId="2" hidden="1">#REF!</definedName>
    <definedName name="_a7" localSheetId="5" hidden="1">#REF!</definedName>
    <definedName name="_a7" localSheetId="6" hidden="1">#REF!</definedName>
    <definedName name="_a7" localSheetId="7" hidden="1">#REF!</definedName>
    <definedName name="_a7" localSheetId="8" hidden="1">#REF!</definedName>
    <definedName name="_a7" hidden="1">#REF!</definedName>
    <definedName name="\A">#REF!</definedName>
    <definedName name="\B">#REF!</definedName>
    <definedName name="aaa" localSheetId="1" hidden="1">#REF!</definedName>
    <definedName name="aaa" localSheetId="2" hidden="1">#REF!</definedName>
    <definedName name="aaa" localSheetId="5" hidden="1">#REF!</definedName>
    <definedName name="aaa" localSheetId="6" hidden="1">#REF!</definedName>
    <definedName name="aaa" localSheetId="7" hidden="1">#REF!</definedName>
    <definedName name="aaa" localSheetId="8" hidden="1">#REF!</definedName>
    <definedName name="aaa" hidden="1">#REF!</definedName>
    <definedName name="bbb" localSheetId="1" hidden="1">#REF!</definedName>
    <definedName name="bbb" localSheetId="2" hidden="1">#REF!</definedName>
    <definedName name="bbb" localSheetId="5" hidden="1">#REF!</definedName>
    <definedName name="bbb" localSheetId="6" hidden="1">#REF!</definedName>
    <definedName name="bbb" localSheetId="7" hidden="1">#REF!</definedName>
    <definedName name="bbb" localSheetId="8" hidden="1">#REF!</definedName>
    <definedName name="bbb" hidden="1">#REF!</definedName>
    <definedName name="ccc" localSheetId="1" hidden="1">#REF!</definedName>
    <definedName name="ccc" localSheetId="2" hidden="1">#REF!</definedName>
    <definedName name="ccc" localSheetId="5" hidden="1">#REF!</definedName>
    <definedName name="ccc" localSheetId="6" hidden="1">#REF!</definedName>
    <definedName name="ccc" localSheetId="7" hidden="1">#REF!</definedName>
    <definedName name="ccc" localSheetId="8" hidden="1">#REF!</definedName>
    <definedName name="ccc" hidden="1">#REF!</definedName>
    <definedName name="ddd" localSheetId="1" hidden="1">#REF!</definedName>
    <definedName name="ddd" localSheetId="2" hidden="1">#REF!</definedName>
    <definedName name="ddd" localSheetId="5" hidden="1">#REF!</definedName>
    <definedName name="ddd" localSheetId="6" hidden="1">#REF!</definedName>
    <definedName name="ddd" localSheetId="7" hidden="1">#REF!</definedName>
    <definedName name="ddd" localSheetId="8" hidden="1">#REF!</definedName>
    <definedName name="ddd" hidden="1">#REF!</definedName>
    <definedName name="eee" localSheetId="1" hidden="1">#REF!</definedName>
    <definedName name="eee" localSheetId="2" hidden="1">#REF!</definedName>
    <definedName name="eee" localSheetId="5" hidden="1">#REF!</definedName>
    <definedName name="eee" localSheetId="6" hidden="1">#REF!</definedName>
    <definedName name="eee" localSheetId="7" hidden="1">#REF!</definedName>
    <definedName name="eee" localSheetId="8" hidden="1">#REF!</definedName>
    <definedName name="eee" hidden="1">#REF!</definedName>
    <definedName name="fff" localSheetId="1" hidden="1">#REF!</definedName>
    <definedName name="fff" localSheetId="2" hidden="1">#REF!</definedName>
    <definedName name="fff" localSheetId="5" hidden="1">#REF!</definedName>
    <definedName name="fff" localSheetId="6" hidden="1">#REF!</definedName>
    <definedName name="fff" localSheetId="7" hidden="1">#REF!</definedName>
    <definedName name="fff" localSheetId="8" hidden="1">#REF!</definedName>
    <definedName name="fff" hidden="1">#REF!</definedName>
    <definedName name="ggg" localSheetId="1" hidden="1">#REF!</definedName>
    <definedName name="ggg" localSheetId="2" hidden="1">#REF!</definedName>
    <definedName name="ggg" localSheetId="5" hidden="1">#REF!</definedName>
    <definedName name="ggg" localSheetId="6" hidden="1">#REF!</definedName>
    <definedName name="ggg" localSheetId="7" hidden="1">#REF!</definedName>
    <definedName name="ggg" localSheetId="8" hidden="1">#REF!</definedName>
    <definedName name="ggg" hidden="1">#REF!</definedName>
    <definedName name="hhh" localSheetId="1" hidden="1">#REF!</definedName>
    <definedName name="hhh" localSheetId="2" hidden="1">#REF!</definedName>
    <definedName name="hhh" localSheetId="5" hidden="1">#REF!</definedName>
    <definedName name="hhh" localSheetId="6" hidden="1">#REF!</definedName>
    <definedName name="hhh" localSheetId="7" hidden="1">#REF!</definedName>
    <definedName name="hhh" localSheetId="8" hidden="1">#REF!</definedName>
    <definedName name="hhh" hidden="1">#REF!</definedName>
    <definedName name="_xlnm.Print_Area" localSheetId="4">'４　経営収支'!$A$1:$P$46</definedName>
    <definedName name="_xlnm.Print_Area" localSheetId="5">'５　繁殖・肥育作業時間計 '!$A$1:$AN$47</definedName>
    <definedName name="_xlnm.Print_Area" localSheetId="6">'６　固定資本装備と減価償却費 '!$A$1:$P$43</definedName>
    <definedName name="_xlnm.Print_Area" localSheetId="7">'７　一貫経営収支'!$A$1:$S$48</definedName>
    <definedName name="_xlnm.Print_Area">#REF!</definedName>
    <definedName name="simizu" localSheetId="1" hidden="1">#REF!</definedName>
    <definedName name="simizu" localSheetId="2" hidden="1">#REF!</definedName>
    <definedName name="simizu" localSheetId="5" hidden="1">#REF!</definedName>
    <definedName name="simizu" localSheetId="6" hidden="1">#REF!</definedName>
    <definedName name="simizu" localSheetId="7" hidden="1">#REF!</definedName>
    <definedName name="simizu" localSheetId="8" hidden="1">#REF!</definedName>
    <definedName name="simizu" hidden="1">#REF!</definedName>
    <definedName name="改" localSheetId="5" hidden="1">#REF!</definedName>
    <definedName name="改" localSheetId="6" hidden="1">#REF!</definedName>
    <definedName name="改" localSheetId="7" hidden="1">#REF!</definedName>
    <definedName name="改" localSheetId="8" hidden="1">#REF!</definedName>
    <definedName name="改" hidden="1">#REF!</definedName>
    <definedName name="改善" localSheetId="5" hidden="1">#REF!</definedName>
    <definedName name="改善" localSheetId="6" hidden="1">#REF!</definedName>
    <definedName name="改善" localSheetId="7" hidden="1">#REF!</definedName>
    <definedName name="改善" localSheetId="8" hidden="1">#REF!</definedName>
    <definedName name="改善" hidden="1">#REF!</definedName>
    <definedName name="桑田固定資産台帳">#REF!</definedName>
  </definedNames>
  <calcPr calcId="145621"/>
</workbook>
</file>

<file path=xl/calcChain.xml><?xml version="1.0" encoding="utf-8"?>
<calcChain xmlns="http://schemas.openxmlformats.org/spreadsheetml/2006/main">
  <c r="L28" i="47" l="1"/>
  <c r="L27" i="47"/>
  <c r="L26" i="47"/>
  <c r="L25" i="47"/>
  <c r="L24" i="47"/>
  <c r="L22" i="47"/>
  <c r="AD43" i="52" l="1"/>
  <c r="AC43" i="52"/>
  <c r="AB43" i="52"/>
  <c r="AA43" i="52"/>
  <c r="Z43" i="52"/>
  <c r="Y43" i="52"/>
  <c r="X43" i="52"/>
  <c r="W43" i="52"/>
  <c r="V43" i="52"/>
  <c r="U43" i="52"/>
  <c r="T43" i="52"/>
  <c r="S43" i="52"/>
  <c r="R43" i="52"/>
  <c r="Q43" i="52"/>
  <c r="P43" i="52"/>
  <c r="O43" i="52"/>
  <c r="N43" i="52"/>
  <c r="M43" i="52"/>
  <c r="L43" i="52"/>
  <c r="K43" i="52"/>
  <c r="J43" i="52"/>
  <c r="I43" i="52"/>
  <c r="H43" i="52"/>
  <c r="G43" i="52"/>
  <c r="F43" i="52"/>
  <c r="E43" i="52"/>
  <c r="D43" i="52"/>
  <c r="AL43" i="52"/>
  <c r="AK43" i="52"/>
  <c r="AJ43" i="52"/>
  <c r="AM43" i="52"/>
  <c r="I13" i="46" l="1"/>
  <c r="L13" i="46" s="1"/>
  <c r="F7" i="47"/>
  <c r="N13" i="46" l="1"/>
  <c r="P13" i="46" s="1"/>
  <c r="F31" i="47"/>
  <c r="L39" i="22" l="1"/>
  <c r="J39" i="22"/>
  <c r="J34" i="22"/>
  <c r="J35" i="22"/>
  <c r="J32" i="22"/>
  <c r="J33" i="22"/>
  <c r="J31" i="22"/>
  <c r="K29" i="22"/>
  <c r="J29" i="22"/>
  <c r="L27" i="22"/>
  <c r="J27" i="22"/>
  <c r="J28" i="22"/>
  <c r="J22" i="22"/>
  <c r="J21" i="22"/>
  <c r="J20" i="22"/>
  <c r="J19" i="22"/>
  <c r="J18" i="22"/>
  <c r="J17" i="22"/>
  <c r="J16" i="22"/>
  <c r="J13" i="22"/>
  <c r="J11" i="22"/>
  <c r="J10" i="22"/>
  <c r="J9" i="22"/>
  <c r="J8" i="22"/>
  <c r="J7" i="22"/>
  <c r="J6" i="22"/>
  <c r="J5" i="22"/>
  <c r="F27" i="47"/>
  <c r="F4" i="47"/>
  <c r="F8" i="47" s="1"/>
  <c r="D14" i="50" l="1"/>
  <c r="AN12" i="52" l="1"/>
  <c r="AN13" i="52"/>
  <c r="D39" i="22" l="1"/>
  <c r="D38" i="22"/>
  <c r="F37" i="22"/>
  <c r="D37" i="22"/>
  <c r="D35" i="22"/>
  <c r="D36" i="22"/>
  <c r="D34" i="22"/>
  <c r="D31" i="22"/>
  <c r="E32" i="22"/>
  <c r="E33" i="22"/>
  <c r="E31" i="22"/>
  <c r="F30" i="47"/>
  <c r="F28" i="22"/>
  <c r="D28" i="22"/>
  <c r="D29" i="22"/>
  <c r="D27" i="22"/>
  <c r="E26" i="22"/>
  <c r="D25" i="22"/>
  <c r="E24" i="22"/>
  <c r="E23" i="22"/>
  <c r="D23" i="22"/>
  <c r="D14" i="22"/>
  <c r="D15" i="22"/>
  <c r="D16" i="22"/>
  <c r="D17" i="22"/>
  <c r="D18" i="22"/>
  <c r="D19" i="22"/>
  <c r="D20" i="22"/>
  <c r="D21" i="22"/>
  <c r="D22" i="22"/>
  <c r="D13" i="22"/>
  <c r="F15" i="47"/>
  <c r="F17" i="22" s="1"/>
  <c r="F14" i="47"/>
  <c r="F16" i="22" s="1"/>
  <c r="F11" i="47"/>
  <c r="F13" i="22" s="1"/>
  <c r="D11" i="22"/>
  <c r="D10" i="22"/>
  <c r="D9" i="22"/>
  <c r="D8" i="22"/>
  <c r="D7" i="22"/>
  <c r="D6" i="22"/>
  <c r="D5" i="22"/>
  <c r="F31" i="22" l="1"/>
  <c r="F9" i="22"/>
  <c r="F6" i="47"/>
  <c r="F7" i="22" s="1"/>
  <c r="G26" i="46"/>
  <c r="F8" i="22"/>
  <c r="F9" i="47"/>
  <c r="F10" i="22" s="1"/>
  <c r="P24" i="47"/>
  <c r="P26" i="47"/>
  <c r="P27" i="47"/>
  <c r="P28" i="47"/>
  <c r="P22" i="47"/>
  <c r="D28" i="50"/>
  <c r="F10" i="47" l="1"/>
  <c r="F11" i="22" s="1"/>
  <c r="F5" i="22" l="1"/>
  <c r="F32" i="22"/>
  <c r="G8" i="46"/>
  <c r="I8" i="46" s="1"/>
  <c r="L8" i="46" s="1"/>
  <c r="N8" i="46" l="1"/>
  <c r="P8" i="46" s="1"/>
  <c r="G6" i="46" l="1"/>
  <c r="G5" i="46"/>
  <c r="F35" i="47" l="1"/>
  <c r="F36" i="22" s="1"/>
  <c r="F20" i="47"/>
  <c r="F22" i="22" s="1"/>
  <c r="F19" i="47"/>
  <c r="F21" i="22" s="1"/>
  <c r="F18" i="47"/>
  <c r="F20" i="22" s="1"/>
  <c r="F17" i="47"/>
  <c r="F19" i="22" s="1"/>
  <c r="F16" i="47"/>
  <c r="F18" i="22" s="1"/>
  <c r="F5" i="47"/>
  <c r="O28" i="47"/>
  <c r="O27" i="47"/>
  <c r="O26" i="47"/>
  <c r="O25" i="47"/>
  <c r="O24" i="47"/>
  <c r="N28" i="47"/>
  <c r="N27" i="47"/>
  <c r="N26" i="47"/>
  <c r="N25" i="47"/>
  <c r="N24" i="47"/>
  <c r="O22" i="47"/>
  <c r="N22" i="47"/>
  <c r="P16" i="47"/>
  <c r="P15" i="47"/>
  <c r="F6" i="22" l="1"/>
  <c r="F12" i="22" s="1"/>
  <c r="F32" i="47"/>
  <c r="F38" i="47"/>
  <c r="AL45" i="52"/>
  <c r="AK45" i="52"/>
  <c r="AJ45" i="52"/>
  <c r="AI45" i="52"/>
  <c r="AH45" i="52"/>
  <c r="AG45" i="52"/>
  <c r="AF45" i="52"/>
  <c r="AE45" i="52"/>
  <c r="AD45" i="52"/>
  <c r="AC45" i="52"/>
  <c r="AB45" i="52"/>
  <c r="AA45" i="52"/>
  <c r="Z45" i="52"/>
  <c r="Y45" i="52"/>
  <c r="W45" i="52"/>
  <c r="V45" i="52"/>
  <c r="U45" i="52"/>
  <c r="T45" i="52"/>
  <c r="S45" i="52"/>
  <c r="Q45" i="52"/>
  <c r="P45" i="52"/>
  <c r="O45" i="52"/>
  <c r="N45" i="52"/>
  <c r="M45" i="52"/>
  <c r="L45" i="52"/>
  <c r="K45" i="52"/>
  <c r="J45" i="52"/>
  <c r="I45" i="52"/>
  <c r="H45" i="52"/>
  <c r="G45" i="52"/>
  <c r="F45" i="52"/>
  <c r="E45" i="52"/>
  <c r="D45" i="52"/>
  <c r="AN44" i="52"/>
  <c r="X45" i="52"/>
  <c r="AM42" i="52"/>
  <c r="AN42" i="52" s="1"/>
  <c r="AM41" i="52"/>
  <c r="AM45" i="52" s="1"/>
  <c r="R41" i="52"/>
  <c r="AN29" i="52"/>
  <c r="AN28" i="52"/>
  <c r="AN27" i="52"/>
  <c r="AN26" i="52"/>
  <c r="AN25" i="52"/>
  <c r="AN24" i="52"/>
  <c r="AN23" i="52"/>
  <c r="AN22" i="52"/>
  <c r="AN21" i="52"/>
  <c r="AN20" i="52"/>
  <c r="AN19" i="52"/>
  <c r="AN18" i="52"/>
  <c r="AN17" i="52"/>
  <c r="AM16" i="52"/>
  <c r="AL16" i="52"/>
  <c r="AK16" i="52"/>
  <c r="AJ16" i="52"/>
  <c r="AI16" i="52"/>
  <c r="AH16" i="52"/>
  <c r="AG16" i="52"/>
  <c r="AF16" i="52"/>
  <c r="AE16" i="52"/>
  <c r="AD16" i="52"/>
  <c r="AC16" i="52"/>
  <c r="AB16" i="52"/>
  <c r="AA16" i="52"/>
  <c r="Z16" i="52"/>
  <c r="Y16" i="52"/>
  <c r="X16" i="52"/>
  <c r="W16" i="52"/>
  <c r="V16" i="52"/>
  <c r="U16" i="52"/>
  <c r="T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F16" i="52"/>
  <c r="E16" i="52"/>
  <c r="D16" i="52"/>
  <c r="AM15" i="52"/>
  <c r="AG15" i="52"/>
  <c r="AA15" i="52"/>
  <c r="X15" i="52"/>
  <c r="R15" i="52"/>
  <c r="L15" i="52"/>
  <c r="I15" i="52"/>
  <c r="F15" i="52"/>
  <c r="D15" i="52"/>
  <c r="AM14" i="52"/>
  <c r="AL14" i="52"/>
  <c r="AK14" i="52"/>
  <c r="AJ14" i="52"/>
  <c r="AI14" i="52"/>
  <c r="AH14" i="52"/>
  <c r="AG14" i="52"/>
  <c r="AF14" i="52"/>
  <c r="AE14" i="52"/>
  <c r="AD14" i="52"/>
  <c r="AC14" i="52"/>
  <c r="AB14" i="52"/>
  <c r="AA14" i="52"/>
  <c r="Z14" i="52"/>
  <c r="Y14" i="52"/>
  <c r="X14" i="52"/>
  <c r="W14" i="52"/>
  <c r="V14" i="52"/>
  <c r="U14" i="52"/>
  <c r="T14" i="52"/>
  <c r="S14" i="52"/>
  <c r="R14" i="52"/>
  <c r="Q14" i="52"/>
  <c r="P14" i="52"/>
  <c r="O14" i="52"/>
  <c r="N14" i="52"/>
  <c r="M14" i="52"/>
  <c r="L14" i="52"/>
  <c r="K14" i="52"/>
  <c r="K30" i="52" s="1"/>
  <c r="K39" i="52" s="1"/>
  <c r="J14" i="52"/>
  <c r="I14" i="52"/>
  <c r="H14" i="52"/>
  <c r="G14" i="52"/>
  <c r="F14" i="52"/>
  <c r="E14" i="52"/>
  <c r="D14" i="52"/>
  <c r="AI30" i="52"/>
  <c r="AI39" i="52" s="1"/>
  <c r="AK30" i="52"/>
  <c r="AK39" i="52" s="1"/>
  <c r="U30" i="52"/>
  <c r="U39" i="52" s="1"/>
  <c r="E30" i="52"/>
  <c r="E39" i="52" s="1"/>
  <c r="AM11" i="52"/>
  <c r="AL11" i="52"/>
  <c r="AK11" i="52"/>
  <c r="AJ11" i="52"/>
  <c r="AJ30" i="52" s="1"/>
  <c r="AJ39" i="52" s="1"/>
  <c r="AI11" i="52"/>
  <c r="AH11" i="52"/>
  <c r="AG11" i="52"/>
  <c r="AG30" i="52" s="1"/>
  <c r="AG39" i="52" s="1"/>
  <c r="AF11" i="52"/>
  <c r="AF30" i="52" s="1"/>
  <c r="AF39" i="52" s="1"/>
  <c r="AE11" i="52"/>
  <c r="AD11" i="52"/>
  <c r="AC11" i="52"/>
  <c r="AC30" i="52" s="1"/>
  <c r="AC39" i="52" s="1"/>
  <c r="AB11" i="52"/>
  <c r="AB30" i="52" s="1"/>
  <c r="AA11" i="52"/>
  <c r="AA30" i="52" s="1"/>
  <c r="AA39" i="52" s="1"/>
  <c r="Z11" i="52"/>
  <c r="Y11" i="52"/>
  <c r="Y30" i="52" s="1"/>
  <c r="Y39" i="52" s="1"/>
  <c r="X11" i="52"/>
  <c r="X30" i="52" s="1"/>
  <c r="X39" i="52" s="1"/>
  <c r="W11" i="52"/>
  <c r="V11" i="52"/>
  <c r="U11" i="52"/>
  <c r="T11" i="52"/>
  <c r="T30" i="52" s="1"/>
  <c r="T39" i="52" s="1"/>
  <c r="S11" i="52"/>
  <c r="S30" i="52" s="1"/>
  <c r="R11" i="52"/>
  <c r="Q11" i="52"/>
  <c r="Q30" i="52" s="1"/>
  <c r="Q39" i="52" s="1"/>
  <c r="P11" i="52"/>
  <c r="P30" i="52" s="1"/>
  <c r="O11" i="52"/>
  <c r="N11" i="52"/>
  <c r="M11" i="52"/>
  <c r="M30" i="52" s="1"/>
  <c r="M39" i="52" s="1"/>
  <c r="L11" i="52"/>
  <c r="L30" i="52" s="1"/>
  <c r="L39" i="52" s="1"/>
  <c r="K11" i="52"/>
  <c r="J11" i="52"/>
  <c r="I11" i="52"/>
  <c r="I30" i="52" s="1"/>
  <c r="I39" i="52" s="1"/>
  <c r="H11" i="52"/>
  <c r="H30" i="52" s="1"/>
  <c r="H39" i="52" s="1"/>
  <c r="G11" i="52"/>
  <c r="F11" i="52"/>
  <c r="E11" i="52"/>
  <c r="D11" i="52"/>
  <c r="AN11" i="52" s="1"/>
  <c r="H46" i="52" l="1"/>
  <c r="AF46" i="52"/>
  <c r="AF47" i="52" s="1"/>
  <c r="AJ46" i="52"/>
  <c r="AN14" i="52"/>
  <c r="AN16" i="52"/>
  <c r="AN15" i="52"/>
  <c r="G30" i="52"/>
  <c r="G39" i="52" s="1"/>
  <c r="H40" i="52" s="1"/>
  <c r="O30" i="52"/>
  <c r="O39" i="52" s="1"/>
  <c r="W30" i="52"/>
  <c r="W39" i="52" s="1"/>
  <c r="AE30" i="52"/>
  <c r="AF31" i="52" s="1"/>
  <c r="AM30" i="52"/>
  <c r="AM39" i="52" s="1"/>
  <c r="AM46" i="52" s="1"/>
  <c r="AN41" i="52"/>
  <c r="E46" i="52"/>
  <c r="M46" i="52"/>
  <c r="Y46" i="52"/>
  <c r="I46" i="52"/>
  <c r="Q46" i="52"/>
  <c r="F33" i="22"/>
  <c r="X46" i="52"/>
  <c r="T46" i="52"/>
  <c r="L46" i="52"/>
  <c r="H31" i="52"/>
  <c r="AE39" i="52"/>
  <c r="AF40" i="52" s="1"/>
  <c r="P39" i="52"/>
  <c r="AB39" i="52"/>
  <c r="AC46" i="52"/>
  <c r="T31" i="52"/>
  <c r="S39" i="52"/>
  <c r="T40" i="52" s="1"/>
  <c r="U46" i="52"/>
  <c r="AG46" i="52"/>
  <c r="AG47" i="52" s="1"/>
  <c r="AK46" i="52"/>
  <c r="D30" i="52"/>
  <c r="F30" i="52"/>
  <c r="F39" i="52" s="1"/>
  <c r="J30" i="52"/>
  <c r="N30" i="52"/>
  <c r="N39" i="52" s="1"/>
  <c r="N40" i="52" s="1"/>
  <c r="R30" i="52"/>
  <c r="R39" i="52" s="1"/>
  <c r="V30" i="52"/>
  <c r="Z30" i="52"/>
  <c r="Z39" i="52" s="1"/>
  <c r="Z46" i="52" s="1"/>
  <c r="AD30" i="52"/>
  <c r="AD39" i="52" s="1"/>
  <c r="AD46" i="52" s="1"/>
  <c r="AH30" i="52"/>
  <c r="AL30" i="52"/>
  <c r="AL39" i="52" s="1"/>
  <c r="AN31" i="52"/>
  <c r="AN43" i="52"/>
  <c r="F46" i="52"/>
  <c r="R45" i="52"/>
  <c r="AA46" i="52"/>
  <c r="AE46" i="52"/>
  <c r="AE47" i="52" s="1"/>
  <c r="AI46" i="52"/>
  <c r="AI47" i="52" s="1"/>
  <c r="Z40" i="52"/>
  <c r="K46" i="52"/>
  <c r="O46" i="52"/>
  <c r="W46" i="52"/>
  <c r="AL40" i="52" l="1"/>
  <c r="G46" i="52"/>
  <c r="R46" i="52"/>
  <c r="S46" i="52"/>
  <c r="AL46" i="52"/>
  <c r="AL31" i="52"/>
  <c r="N46" i="52"/>
  <c r="Z31" i="52"/>
  <c r="AI31" i="52"/>
  <c r="AH39" i="52"/>
  <c r="N31" i="52"/>
  <c r="AN45" i="52"/>
  <c r="K45" i="22" s="1"/>
  <c r="AC31" i="52"/>
  <c r="J39" i="52"/>
  <c r="K31" i="52"/>
  <c r="D39" i="52"/>
  <c r="E31" i="52"/>
  <c r="AN30" i="52"/>
  <c r="AB46" i="52"/>
  <c r="AC40" i="52"/>
  <c r="V39" i="52"/>
  <c r="W31" i="52"/>
  <c r="Q31" i="52"/>
  <c r="Q40" i="52"/>
  <c r="P46" i="52"/>
  <c r="AN39" i="52" l="1"/>
  <c r="E40" i="52"/>
  <c r="D46" i="52"/>
  <c r="K40" i="52"/>
  <c r="J46" i="52"/>
  <c r="W40" i="52"/>
  <c r="V46" i="52"/>
  <c r="AI40" i="52"/>
  <c r="AH46" i="52"/>
  <c r="AH47" i="52" l="1"/>
  <c r="AN47" i="52" s="1"/>
  <c r="N45" i="22" s="1"/>
  <c r="F41" i="22" s="1"/>
  <c r="AN46" i="52"/>
  <c r="AN40" i="52"/>
  <c r="D49" i="50" l="1"/>
  <c r="I6" i="46" l="1"/>
  <c r="L6" i="46" s="1"/>
  <c r="N6" i="46" l="1"/>
  <c r="P6" i="46" s="1"/>
  <c r="V56" i="50"/>
  <c r="G55" i="50"/>
  <c r="N56" i="50"/>
  <c r="G54" i="50"/>
  <c r="G56" i="50" s="1"/>
  <c r="G52" i="50"/>
  <c r="G51" i="50"/>
  <c r="V50" i="50"/>
  <c r="N50" i="50"/>
  <c r="G50" i="50"/>
  <c r="G53" i="50" s="1"/>
  <c r="G48" i="50"/>
  <c r="G47" i="50"/>
  <c r="N46" i="50"/>
  <c r="G46" i="50"/>
  <c r="G45" i="50"/>
  <c r="G44" i="50"/>
  <c r="G43" i="50"/>
  <c r="G42" i="50"/>
  <c r="G41" i="50"/>
  <c r="V40" i="50"/>
  <c r="G40" i="50"/>
  <c r="P25" i="47" s="1"/>
  <c r="P30" i="47" s="1"/>
  <c r="F13" i="47" s="1"/>
  <c r="F15" i="22" s="1"/>
  <c r="V39" i="50"/>
  <c r="G39" i="50"/>
  <c r="V38" i="50"/>
  <c r="V44" i="50" s="1"/>
  <c r="V57" i="50" s="1"/>
  <c r="G37" i="50"/>
  <c r="G36" i="50"/>
  <c r="G35" i="50"/>
  <c r="V34" i="50"/>
  <c r="G34" i="50"/>
  <c r="G33" i="50"/>
  <c r="G32" i="50"/>
  <c r="L31" i="50"/>
  <c r="K31" i="50"/>
  <c r="G31" i="50"/>
  <c r="N30" i="50"/>
  <c r="G30" i="50"/>
  <c r="N29" i="50"/>
  <c r="G29" i="50"/>
  <c r="N28" i="50"/>
  <c r="N31" i="50" s="1"/>
  <c r="G28" i="50"/>
  <c r="V27" i="50"/>
  <c r="L27" i="50"/>
  <c r="K27" i="50"/>
  <c r="V26" i="50"/>
  <c r="N26" i="50"/>
  <c r="V25" i="50"/>
  <c r="N25" i="50"/>
  <c r="V24" i="50"/>
  <c r="N24" i="50"/>
  <c r="N27" i="50" s="1"/>
  <c r="L23" i="50"/>
  <c r="K23" i="50"/>
  <c r="N22" i="50"/>
  <c r="G22" i="50"/>
  <c r="N21" i="50"/>
  <c r="G21" i="50"/>
  <c r="N20" i="50"/>
  <c r="N23" i="50" s="1"/>
  <c r="L19" i="50"/>
  <c r="K19" i="50"/>
  <c r="G19" i="50"/>
  <c r="N18" i="50"/>
  <c r="G18" i="50"/>
  <c r="N17" i="50"/>
  <c r="G17" i="50"/>
  <c r="G20" i="50" s="1"/>
  <c r="N16" i="50"/>
  <c r="N19" i="50" s="1"/>
  <c r="V15" i="50"/>
  <c r="L15" i="50"/>
  <c r="K15" i="50"/>
  <c r="V14" i="50"/>
  <c r="N14" i="50"/>
  <c r="G14" i="50"/>
  <c r="V13" i="50"/>
  <c r="N13" i="50"/>
  <c r="N15" i="50" s="1"/>
  <c r="G13" i="50"/>
  <c r="V12" i="50"/>
  <c r="N12" i="50"/>
  <c r="G12" i="50"/>
  <c r="G15" i="50" s="1"/>
  <c r="V11" i="50"/>
  <c r="N11" i="50"/>
  <c r="V10" i="50"/>
  <c r="L10" i="50"/>
  <c r="K10" i="50"/>
  <c r="G10" i="50"/>
  <c r="V9" i="50"/>
  <c r="N9" i="50"/>
  <c r="G9" i="50"/>
  <c r="G11" i="50" s="1"/>
  <c r="V8" i="50"/>
  <c r="N8" i="50"/>
  <c r="N10" i="50" s="1"/>
  <c r="G8" i="50"/>
  <c r="V7" i="50"/>
  <c r="N7" i="50"/>
  <c r="V6" i="50"/>
  <c r="N6" i="50"/>
  <c r="G6" i="50"/>
  <c r="G7" i="50" s="1"/>
  <c r="V5" i="50"/>
  <c r="V20" i="50" s="1"/>
  <c r="G5" i="50"/>
  <c r="G23" i="50" l="1"/>
  <c r="P18" i="47" s="1"/>
  <c r="G38" i="50"/>
  <c r="G49" i="50"/>
  <c r="G16" i="50"/>
  <c r="G24" i="50" l="1"/>
  <c r="P17" i="47"/>
  <c r="G57" i="50"/>
  <c r="F34" i="47"/>
  <c r="F35" i="22" s="1"/>
  <c r="F33" i="47"/>
  <c r="F26" i="47"/>
  <c r="F27" i="22" s="1"/>
  <c r="P20" i="47"/>
  <c r="F12" i="47" s="1"/>
  <c r="F34" i="22" l="1"/>
  <c r="F14" i="22"/>
  <c r="R13" i="47"/>
  <c r="P40" i="47"/>
  <c r="G9" i="46" l="1"/>
  <c r="G7" i="46"/>
  <c r="N35" i="50" l="1"/>
  <c r="N42" i="50" s="1"/>
  <c r="N57" i="50" s="1"/>
  <c r="F37" i="47" s="1"/>
  <c r="G42" i="46"/>
  <c r="P41" i="46"/>
  <c r="I41" i="46"/>
  <c r="L41" i="46" s="1"/>
  <c r="N41" i="46" s="1"/>
  <c r="P40" i="46"/>
  <c r="I40" i="46"/>
  <c r="L40" i="46" s="1"/>
  <c r="N40" i="46" s="1"/>
  <c r="P39" i="46"/>
  <c r="I39" i="46"/>
  <c r="L39" i="46" s="1"/>
  <c r="N39" i="46" s="1"/>
  <c r="I38" i="46"/>
  <c r="G37" i="46"/>
  <c r="P36" i="46"/>
  <c r="I36" i="46"/>
  <c r="L36" i="46" s="1"/>
  <c r="N36" i="46" s="1"/>
  <c r="P35" i="46"/>
  <c r="I35" i="46"/>
  <c r="L35" i="46" s="1"/>
  <c r="N35" i="46" s="1"/>
  <c r="P34" i="46"/>
  <c r="N34" i="46"/>
  <c r="I34" i="46"/>
  <c r="P33" i="46"/>
  <c r="I33" i="46"/>
  <c r="L33" i="46" s="1"/>
  <c r="N33" i="46" s="1"/>
  <c r="P32" i="46"/>
  <c r="I32" i="46"/>
  <c r="L32" i="46" s="1"/>
  <c r="N32" i="46" s="1"/>
  <c r="P31" i="46"/>
  <c r="I31" i="46"/>
  <c r="L31" i="46" s="1"/>
  <c r="N31" i="46" s="1"/>
  <c r="P30" i="46"/>
  <c r="I30" i="46"/>
  <c r="L30" i="46" s="1"/>
  <c r="N30" i="46" s="1"/>
  <c r="P29" i="46"/>
  <c r="I29" i="46"/>
  <c r="L29" i="46" s="1"/>
  <c r="N29" i="46" s="1"/>
  <c r="P28" i="46"/>
  <c r="I28" i="46"/>
  <c r="L28" i="46" s="1"/>
  <c r="N28" i="46" s="1"/>
  <c r="P27" i="46"/>
  <c r="I27" i="46"/>
  <c r="L27" i="46" s="1"/>
  <c r="N27" i="46" s="1"/>
  <c r="I26" i="46"/>
  <c r="L26" i="46" s="1"/>
  <c r="N26" i="46" s="1"/>
  <c r="I24" i="46"/>
  <c r="L24" i="46" s="1"/>
  <c r="N24" i="46" s="1"/>
  <c r="I23" i="46"/>
  <c r="L23" i="46" s="1"/>
  <c r="N23" i="46" s="1"/>
  <c r="P23" i="46" s="1"/>
  <c r="I22" i="46"/>
  <c r="L22" i="46" s="1"/>
  <c r="N22" i="46" s="1"/>
  <c r="I21" i="46"/>
  <c r="L21" i="46" s="1"/>
  <c r="N21" i="46" s="1"/>
  <c r="I20" i="46"/>
  <c r="L20" i="46" s="1"/>
  <c r="N20" i="46" s="1"/>
  <c r="I19" i="46"/>
  <c r="L19" i="46" s="1"/>
  <c r="N19" i="46" s="1"/>
  <c r="I18" i="46"/>
  <c r="L18" i="46" s="1"/>
  <c r="N18" i="46" s="1"/>
  <c r="I17" i="46"/>
  <c r="L17" i="46" s="1"/>
  <c r="N17" i="46" s="1"/>
  <c r="I16" i="46"/>
  <c r="L16" i="46" s="1"/>
  <c r="N16" i="46" s="1"/>
  <c r="I15" i="46"/>
  <c r="L15" i="46" s="1"/>
  <c r="I14" i="46"/>
  <c r="L14" i="46" s="1"/>
  <c r="N14" i="46" s="1"/>
  <c r="I12" i="46"/>
  <c r="G11" i="46"/>
  <c r="P10" i="46"/>
  <c r="I10" i="46"/>
  <c r="L10" i="46" s="1"/>
  <c r="N10" i="46" s="1"/>
  <c r="I9" i="46"/>
  <c r="L9" i="46" s="1"/>
  <c r="N9" i="46" s="1"/>
  <c r="P9" i="46" s="1"/>
  <c r="I7" i="46"/>
  <c r="L7" i="46" s="1"/>
  <c r="I5" i="46"/>
  <c r="L5" i="46" s="1"/>
  <c r="F39" i="47" l="1"/>
  <c r="F39" i="22" s="1"/>
  <c r="F38" i="22"/>
  <c r="P26" i="46"/>
  <c r="P14" i="46"/>
  <c r="I11" i="46"/>
  <c r="P19" i="46"/>
  <c r="G43" i="46"/>
  <c r="P24" i="46"/>
  <c r="P16" i="46"/>
  <c r="P20" i="46"/>
  <c r="I37" i="46"/>
  <c r="P17" i="46"/>
  <c r="P21" i="46"/>
  <c r="I42" i="46"/>
  <c r="P18" i="46"/>
  <c r="P22" i="46"/>
  <c r="N5" i="46"/>
  <c r="P5" i="46" s="1"/>
  <c r="N7" i="46"/>
  <c r="P7" i="46" s="1"/>
  <c r="N15" i="46"/>
  <c r="P15" i="46" s="1"/>
  <c r="L12" i="46"/>
  <c r="L38" i="46"/>
  <c r="P38" i="46" s="1"/>
  <c r="P42" i="46" s="1"/>
  <c r="F40" i="47" l="1"/>
  <c r="F25" i="47"/>
  <c r="F26" i="22" s="1"/>
  <c r="I43" i="46"/>
  <c r="P11" i="46"/>
  <c r="L42" i="46"/>
  <c r="L37" i="46"/>
  <c r="N12" i="46"/>
  <c r="P12" i="46" s="1"/>
  <c r="P37" i="46" s="1"/>
  <c r="F24" i="47" s="1"/>
  <c r="L11" i="46"/>
  <c r="F22" i="47" l="1"/>
  <c r="F21" i="47"/>
  <c r="F23" i="47"/>
  <c r="F25" i="22" s="1"/>
  <c r="L43" i="46"/>
  <c r="P43" i="46"/>
  <c r="F24" i="22" l="1"/>
  <c r="F28" i="47"/>
  <c r="F29" i="22" s="1"/>
  <c r="F23" i="22"/>
  <c r="H12" i="22"/>
  <c r="I12" i="22"/>
  <c r="H30" i="22"/>
  <c r="I30" i="22"/>
  <c r="F29" i="47" l="1"/>
  <c r="F30" i="22"/>
  <c r="F45" i="22"/>
  <c r="F40" i="22" l="1"/>
  <c r="F42" i="22" l="1"/>
  <c r="F43" i="22" s="1"/>
  <c r="F46" i="22" s="1"/>
  <c r="F44" i="22" l="1"/>
</calcChain>
</file>

<file path=xl/sharedStrings.xml><?xml version="1.0" encoding="utf-8"?>
<sst xmlns="http://schemas.openxmlformats.org/spreadsheetml/2006/main" count="716" uniqueCount="492">
  <si>
    <t>固定資産税</t>
    <rPh sb="0" eb="2">
      <t>コテイ</t>
    </rPh>
    <rPh sb="2" eb="5">
      <t>シサンゼイ</t>
    </rPh>
    <phoneticPr fontId="8"/>
  </si>
  <si>
    <t>運賃</t>
    <rPh sb="0" eb="2">
      <t>ウンチン</t>
    </rPh>
    <phoneticPr fontId="6"/>
  </si>
  <si>
    <t>内容</t>
    <rPh sb="0" eb="2">
      <t>ナイヨウ</t>
    </rPh>
    <phoneticPr fontId="8"/>
  </si>
  <si>
    <t>小農具費</t>
    <rPh sb="0" eb="1">
      <t>ショウ</t>
    </rPh>
    <rPh sb="1" eb="3">
      <t>ノウグ</t>
    </rPh>
    <rPh sb="3" eb="4">
      <t>ヒ</t>
    </rPh>
    <phoneticPr fontId="6"/>
  </si>
  <si>
    <t>賃料料金</t>
    <rPh sb="0" eb="2">
      <t>チンリョウ</t>
    </rPh>
    <rPh sb="2" eb="4">
      <t>リョウキン</t>
    </rPh>
    <phoneticPr fontId="6"/>
  </si>
  <si>
    <t>販売手数料</t>
    <rPh sb="0" eb="2">
      <t>ハンバイ</t>
    </rPh>
    <rPh sb="2" eb="5">
      <t>テスウリョウ</t>
    </rPh>
    <phoneticPr fontId="6"/>
  </si>
  <si>
    <t>（単位）</t>
    <rPh sb="1" eb="3">
      <t>タンイ</t>
    </rPh>
    <phoneticPr fontId="6"/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</si>
  <si>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</si>
  <si>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</si>
  <si>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</si>
  <si>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</si>
  <si>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</si>
  <si>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</si>
  <si>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</si>
  <si>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</si>
  <si>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</si>
  <si>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</si>
  <si>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</si>
  <si>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6"/>
  </si>
  <si>
    <t>数　　量</t>
  </si>
  <si>
    <t>金　額</t>
  </si>
  <si>
    <t>備　考</t>
  </si>
  <si>
    <t>　計</t>
  </si>
  <si>
    <t>計</t>
  </si>
  <si>
    <t>上</t>
  </si>
  <si>
    <t>中</t>
  </si>
  <si>
    <t>下</t>
  </si>
  <si>
    <t>種　　　類</t>
  </si>
  <si>
    <t>規　模</t>
  </si>
  <si>
    <t>負担価格</t>
  </si>
  <si>
    <t>残存価格</t>
  </si>
  <si>
    <t>耐用年数</t>
  </si>
  <si>
    <t>年償却額</t>
  </si>
  <si>
    <t>小　　計</t>
  </si>
  <si>
    <t>　　小　　計</t>
  </si>
  <si>
    <t>トラクター</t>
  </si>
  <si>
    <t>台</t>
  </si>
  <si>
    <t>売上高</t>
    <rPh sb="0" eb="2">
      <t>ウリアゲ</t>
    </rPh>
    <rPh sb="2" eb="3">
      <t>ダカ</t>
    </rPh>
    <phoneticPr fontId="6"/>
  </si>
  <si>
    <t>諸材料費</t>
    <rPh sb="0" eb="1">
      <t>ショ</t>
    </rPh>
    <rPh sb="1" eb="4">
      <t>ザイリョウヒ</t>
    </rPh>
    <phoneticPr fontId="6"/>
  </si>
  <si>
    <t>修繕費</t>
    <rPh sb="0" eb="2">
      <t>シュウゼン</t>
    </rPh>
    <rPh sb="2" eb="3">
      <t>ヒ</t>
    </rPh>
    <phoneticPr fontId="6"/>
  </si>
  <si>
    <t>支払地代</t>
    <rPh sb="0" eb="2">
      <t>シハラ</t>
    </rPh>
    <rPh sb="2" eb="4">
      <t>チダイ</t>
    </rPh>
    <phoneticPr fontId="6"/>
  </si>
  <si>
    <t>販売費</t>
    <rPh sb="0" eb="3">
      <t>ハンバイヒ</t>
    </rPh>
    <phoneticPr fontId="6"/>
  </si>
  <si>
    <t>租税公課</t>
    <rPh sb="0" eb="2">
      <t>ソゼイ</t>
    </rPh>
    <rPh sb="2" eb="4">
      <t>コウカ</t>
    </rPh>
    <phoneticPr fontId="6"/>
  </si>
  <si>
    <t>経営類型</t>
    <rPh sb="0" eb="2">
      <t>ケイエイ</t>
    </rPh>
    <rPh sb="2" eb="4">
      <t>ルイケイ</t>
    </rPh>
    <phoneticPr fontId="6"/>
  </si>
  <si>
    <t>作型</t>
    <rPh sb="0" eb="2">
      <t>サクガタ</t>
    </rPh>
    <phoneticPr fontId="6"/>
  </si>
  <si>
    <t>対象地域</t>
    <rPh sb="0" eb="2">
      <t>タイショウ</t>
    </rPh>
    <rPh sb="2" eb="4">
      <t>チイキ</t>
    </rPh>
    <phoneticPr fontId="6"/>
  </si>
  <si>
    <t>面    積</t>
    <phoneticPr fontId="6"/>
  </si>
  <si>
    <t>（うち施設）</t>
    <phoneticPr fontId="6"/>
  </si>
  <si>
    <t>区分</t>
    <rPh sb="0" eb="2">
      <t>クブン</t>
    </rPh>
    <phoneticPr fontId="6"/>
  </si>
  <si>
    <t>動力光熱費</t>
    <rPh sb="0" eb="2">
      <t>ドウリョク</t>
    </rPh>
    <rPh sb="2" eb="5">
      <t>コウネツヒ</t>
    </rPh>
    <phoneticPr fontId="6"/>
  </si>
  <si>
    <t>減価
償却費</t>
    <rPh sb="0" eb="2">
      <t>ゲンカ</t>
    </rPh>
    <rPh sb="3" eb="5">
      <t>ショウキャク</t>
    </rPh>
    <rPh sb="5" eb="6">
      <t>ヒ</t>
    </rPh>
    <phoneticPr fontId="6"/>
  </si>
  <si>
    <t>事務通信費</t>
    <rPh sb="0" eb="2">
      <t>ジム</t>
    </rPh>
    <rPh sb="2" eb="5">
      <t>ツウシンヒ</t>
    </rPh>
    <phoneticPr fontId="6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</si>
  <si>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6"/>
  </si>
  <si>
    <t>負担根拠</t>
    <rPh sb="0" eb="2">
      <t>フタン</t>
    </rPh>
    <rPh sb="2" eb="4">
      <t>コンキョ</t>
    </rPh>
    <phoneticPr fontId="6"/>
  </si>
  <si>
    <t>（数値）</t>
    <rPh sb="1" eb="3">
      <t>スウチ</t>
    </rPh>
    <phoneticPr fontId="6"/>
  </si>
  <si>
    <t>台</t>
    <rPh sb="0" eb="1">
      <t>ダイ</t>
    </rPh>
    <phoneticPr fontId="6"/>
  </si>
  <si>
    <t>４　経営収支</t>
    <rPh sb="2" eb="4">
      <t>ケイエイ</t>
    </rPh>
    <rPh sb="4" eb="6">
      <t>シュウシ</t>
    </rPh>
    <phoneticPr fontId="6"/>
  </si>
  <si>
    <t>栽培様式</t>
    <rPh sb="0" eb="2">
      <t>サイバイ</t>
    </rPh>
    <rPh sb="2" eb="4">
      <t>ヨウシキ</t>
    </rPh>
    <phoneticPr fontId="6"/>
  </si>
  <si>
    <t>技術内容</t>
    <rPh sb="0" eb="2">
      <t>ギジュツ</t>
    </rPh>
    <rPh sb="2" eb="4">
      <t>ナイヨウ</t>
    </rPh>
    <phoneticPr fontId="6"/>
  </si>
  <si>
    <t>作業時期</t>
    <rPh sb="0" eb="2">
      <t>サギョウ</t>
    </rPh>
    <rPh sb="2" eb="4">
      <t>ジキ</t>
    </rPh>
    <phoneticPr fontId="6"/>
  </si>
  <si>
    <t>使用資材
（10a当たり）</t>
    <rPh sb="0" eb="2">
      <t>シヨウ</t>
    </rPh>
    <rPh sb="2" eb="4">
      <t>シザイ</t>
    </rPh>
    <rPh sb="9" eb="10">
      <t>ア</t>
    </rPh>
    <phoneticPr fontId="6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</si>
  <si>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6"/>
  </si>
  <si>
    <t>機械時間（10 a当たり）</t>
    <rPh sb="0" eb="2">
      <t>キカイ</t>
    </rPh>
    <rPh sb="2" eb="4">
      <t>ジカン</t>
    </rPh>
    <phoneticPr fontId="6"/>
  </si>
  <si>
    <t>人力時間（10 a当たり）</t>
    <rPh sb="0" eb="2">
      <t>ジンリキ</t>
    </rPh>
    <rPh sb="2" eb="4">
      <t>ジカン</t>
    </rPh>
    <phoneticPr fontId="6"/>
  </si>
  <si>
    <t>組作業人員(人）</t>
    <rPh sb="0" eb="1">
      <t>クミ</t>
    </rPh>
    <rPh sb="1" eb="3">
      <t>サギョウ</t>
    </rPh>
    <rPh sb="3" eb="5">
      <t>ジンイン</t>
    </rPh>
    <phoneticPr fontId="6"/>
  </si>
  <si>
    <t>使用施設・機械</t>
    <rPh sb="0" eb="2">
      <t>シヨウ</t>
    </rPh>
    <rPh sb="2" eb="4">
      <t>シセツ</t>
    </rPh>
    <rPh sb="5" eb="7">
      <t>キカイ</t>
    </rPh>
    <phoneticPr fontId="6"/>
  </si>
  <si>
    <t>作業・項目</t>
    <rPh sb="0" eb="2">
      <t>サギョウ</t>
    </rPh>
    <rPh sb="3" eb="5">
      <t>コウモク</t>
    </rPh>
    <phoneticPr fontId="6"/>
  </si>
  <si>
    <t>土地利用体系</t>
    <rPh sb="0" eb="2">
      <t>トチ</t>
    </rPh>
    <rPh sb="2" eb="4">
      <t>リヨウ</t>
    </rPh>
    <rPh sb="4" eb="6">
      <t>タイケイ</t>
    </rPh>
    <phoneticPr fontId="6"/>
  </si>
  <si>
    <t>共済掛金　等</t>
    <rPh sb="0" eb="2">
      <t>キョウサイ</t>
    </rPh>
    <rPh sb="2" eb="4">
      <t>カケキン</t>
    </rPh>
    <rPh sb="5" eb="6">
      <t>ナド</t>
    </rPh>
    <phoneticPr fontId="6"/>
  </si>
  <si>
    <t>形式・構造　等</t>
    <rPh sb="6" eb="7">
      <t>ナド</t>
    </rPh>
    <phoneticPr fontId="6"/>
  </si>
  <si>
    <t>取得価格</t>
    <rPh sb="0" eb="2">
      <t>シュトク</t>
    </rPh>
    <rPh sb="2" eb="4">
      <t>カカク</t>
    </rPh>
    <phoneticPr fontId="6"/>
  </si>
  <si>
    <t>補助率</t>
    <rPh sb="0" eb="3">
      <t>ホジョリツ</t>
    </rPh>
    <phoneticPr fontId="6"/>
  </si>
  <si>
    <t>残存割合</t>
    <rPh sb="0" eb="2">
      <t>ザンゾン</t>
    </rPh>
    <rPh sb="2" eb="4">
      <t>ワリアイ</t>
    </rPh>
    <phoneticPr fontId="6"/>
  </si>
  <si>
    <t>大動植物</t>
    <rPh sb="0" eb="1">
      <t>ダイ</t>
    </rPh>
    <rPh sb="1" eb="4">
      <t>ドウショクブツ</t>
    </rPh>
    <phoneticPr fontId="6"/>
  </si>
  <si>
    <t>③=①×（100-②）（円）</t>
    <rPh sb="12" eb="13">
      <t>エン</t>
    </rPh>
    <phoneticPr fontId="6"/>
  </si>
  <si>
    <t>農薬名</t>
  </si>
  <si>
    <t>使用量</t>
    <rPh sb="2" eb="3">
      <t>リョウ</t>
    </rPh>
    <phoneticPr fontId="6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</si>
  <si>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</si>
  <si>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</si>
  <si>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</si>
  <si>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</si>
  <si>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</si>
  <si>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</si>
  <si>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6"/>
  </si>
  <si>
    <t>（エ）燃料名</t>
    <phoneticPr fontId="6"/>
  </si>
  <si>
    <t>生産雑費</t>
    <rPh sb="0" eb="2">
      <t>セイサン</t>
    </rPh>
    <rPh sb="2" eb="4">
      <t>ザッピ</t>
    </rPh>
    <phoneticPr fontId="6"/>
  </si>
  <si>
    <t>化成肥料</t>
    <rPh sb="0" eb="2">
      <t>カセイ</t>
    </rPh>
    <rPh sb="2" eb="4">
      <t>ヒリョウ</t>
    </rPh>
    <phoneticPr fontId="6"/>
  </si>
  <si>
    <t>肥料名</t>
    <rPh sb="0" eb="2">
      <t>ヒリョウ</t>
    </rPh>
    <rPh sb="2" eb="3">
      <t>メイ</t>
    </rPh>
    <phoneticPr fontId="6"/>
  </si>
  <si>
    <t>電気</t>
    <rPh sb="0" eb="2">
      <t>デンキ</t>
    </rPh>
    <phoneticPr fontId="6"/>
  </si>
  <si>
    <t>軽油</t>
    <rPh sb="0" eb="2">
      <t>ケイユ</t>
    </rPh>
    <phoneticPr fontId="6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</si>
  <si>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6"/>
  </si>
  <si>
    <t>混合</t>
    <rPh sb="0" eb="2">
      <t>コンゴウ</t>
    </rPh>
    <phoneticPr fontId="6"/>
  </si>
  <si>
    <t>灯油</t>
    <rPh sb="0" eb="2">
      <t>トウユ</t>
    </rPh>
    <phoneticPr fontId="6"/>
  </si>
  <si>
    <t>資材名</t>
    <rPh sb="0" eb="2">
      <t>シザイ</t>
    </rPh>
    <rPh sb="2" eb="3">
      <t>メイ</t>
    </rPh>
    <phoneticPr fontId="6"/>
  </si>
  <si>
    <t>使用量</t>
    <rPh sb="0" eb="3">
      <t>シヨウリョウ</t>
    </rPh>
    <phoneticPr fontId="6"/>
  </si>
  <si>
    <t>単位</t>
    <rPh sb="0" eb="2">
      <t>タンイ</t>
    </rPh>
    <phoneticPr fontId="6"/>
  </si>
  <si>
    <t>使用期間（年）</t>
    <rPh sb="0" eb="2">
      <t>シヨウ</t>
    </rPh>
    <rPh sb="2" eb="4">
      <t>キカン</t>
    </rPh>
    <rPh sb="5" eb="6">
      <t>ネン</t>
    </rPh>
    <phoneticPr fontId="6"/>
  </si>
  <si>
    <t>金額（1年あたり）</t>
    <rPh sb="4" eb="5">
      <t>ネン</t>
    </rPh>
    <phoneticPr fontId="6"/>
  </si>
  <si>
    <t>農具名</t>
    <rPh sb="0" eb="2">
      <t>ノウグ</t>
    </rPh>
    <rPh sb="2" eb="3">
      <t>メイ</t>
    </rPh>
    <phoneticPr fontId="6"/>
  </si>
  <si>
    <t>建物・施設</t>
    <rPh sb="0" eb="2">
      <t>タテモノ</t>
    </rPh>
    <rPh sb="3" eb="5">
      <t>シセツ</t>
    </rPh>
    <phoneticPr fontId="6"/>
  </si>
  <si>
    <t>機械・器具</t>
    <rPh sb="0" eb="2">
      <t>キカイ</t>
    </rPh>
    <rPh sb="3" eb="5">
      <t>キグ</t>
    </rPh>
    <phoneticPr fontId="6"/>
  </si>
  <si>
    <t>負担価格の</t>
    <phoneticPr fontId="6"/>
  </si>
  <si>
    <t>販売費・
一般管理費</t>
    <rPh sb="0" eb="3">
      <t>ハンバイヒ</t>
    </rPh>
    <rPh sb="5" eb="7">
      <t>イッパン</t>
    </rPh>
    <rPh sb="7" eb="10">
      <t>カンリヒ</t>
    </rPh>
    <phoneticPr fontId="6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</si>
  <si>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6"/>
  </si>
  <si>
    <t>売上高　計　①</t>
    <rPh sb="0" eb="2">
      <t>ウリアゲ</t>
    </rPh>
    <rPh sb="2" eb="3">
      <t>ダカ</t>
    </rPh>
    <rPh sb="4" eb="5">
      <t>ケイ</t>
    </rPh>
    <phoneticPr fontId="6"/>
  </si>
  <si>
    <t>売上原価　計　②</t>
    <rPh sb="0" eb="2">
      <t>ウリアゲ</t>
    </rPh>
    <rPh sb="2" eb="4">
      <t>ゲンカ</t>
    </rPh>
    <rPh sb="5" eb="6">
      <t>ケイ</t>
    </rPh>
    <phoneticPr fontId="6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</si>
  <si>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6"/>
  </si>
  <si>
    <t>売上原価　計</t>
    <phoneticPr fontId="6"/>
  </si>
  <si>
    <t>（３）動力光熱費</t>
    <rPh sb="3" eb="5">
      <t>ドウリョク</t>
    </rPh>
    <rPh sb="5" eb="8">
      <t>コウネツヒ</t>
    </rPh>
    <phoneticPr fontId="6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</si>
  <si>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6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</si>
  <si>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6"/>
  </si>
  <si>
    <t>粗　　　収　　　益　　　の　　　算　　　出</t>
    <phoneticPr fontId="6"/>
  </si>
  <si>
    <t>売上原価の</t>
    <rPh sb="0" eb="2">
      <t>ウリアゲ</t>
    </rPh>
    <rPh sb="2" eb="4">
      <t>ゲンカ</t>
    </rPh>
    <phoneticPr fontId="6"/>
  </si>
  <si>
    <t>区　分</t>
    <rPh sb="0" eb="1">
      <t>ク</t>
    </rPh>
    <rPh sb="2" eb="3">
      <t>ブン</t>
    </rPh>
    <phoneticPr fontId="8"/>
  </si>
  <si>
    <t>水田</t>
    <rPh sb="0" eb="2">
      <t>スイデン</t>
    </rPh>
    <phoneticPr fontId="6"/>
  </si>
  <si>
    <t>区分</t>
    <rPh sb="0" eb="1">
      <t>ク</t>
    </rPh>
    <rPh sb="1" eb="2">
      <t>ブン</t>
    </rPh>
    <phoneticPr fontId="8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</si>
  <si>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8"/>
  </si>
  <si>
    <t>自動車重量税</t>
    <rPh sb="0" eb="3">
      <t>ジドウシャ</t>
    </rPh>
    <rPh sb="3" eb="6">
      <t>ジュウリョウゼイ</t>
    </rPh>
    <phoneticPr fontId="8"/>
  </si>
  <si>
    <t>自動車税</t>
    <rPh sb="0" eb="3">
      <t>ジドウシャ</t>
    </rPh>
    <rPh sb="3" eb="4">
      <t>ゼイ</t>
    </rPh>
    <phoneticPr fontId="8"/>
  </si>
  <si>
    <t>軽自動車税</t>
    <rPh sb="0" eb="1">
      <t>ケイ</t>
    </rPh>
    <rPh sb="1" eb="5">
      <t>ジドウシャゼイ</t>
    </rPh>
    <phoneticPr fontId="8"/>
  </si>
  <si>
    <t>合　　計</t>
    <rPh sb="0" eb="1">
      <t>ア</t>
    </rPh>
    <rPh sb="3" eb="4">
      <t>ケイ</t>
    </rPh>
    <phoneticPr fontId="6"/>
  </si>
  <si>
    <t>（７）共済掛金　等</t>
    <rPh sb="3" eb="5">
      <t>キョウサイ</t>
    </rPh>
    <rPh sb="5" eb="7">
      <t>カケキン</t>
    </rPh>
    <rPh sb="8" eb="9">
      <t>ナド</t>
    </rPh>
    <phoneticPr fontId="8"/>
  </si>
  <si>
    <t>内　容</t>
    <rPh sb="0" eb="1">
      <t>ウチ</t>
    </rPh>
    <rPh sb="2" eb="3">
      <t>カタチ</t>
    </rPh>
    <phoneticPr fontId="8"/>
  </si>
  <si>
    <t>共済掛金</t>
    <rPh sb="0" eb="2">
      <t>キョウサイ</t>
    </rPh>
    <rPh sb="2" eb="4">
      <t>カケキン</t>
    </rPh>
    <phoneticPr fontId="8"/>
  </si>
  <si>
    <t>負担率</t>
    <rPh sb="0" eb="2">
      <t>フタン</t>
    </rPh>
    <rPh sb="2" eb="3">
      <t>リツ</t>
    </rPh>
    <phoneticPr fontId="8"/>
  </si>
  <si>
    <t>小計</t>
    <rPh sb="0" eb="2">
      <t>ショウケイ</t>
    </rPh>
    <phoneticPr fontId="8"/>
  </si>
  <si>
    <t>（４）租税公課</t>
    <rPh sb="3" eb="5">
      <t>ソゼイ</t>
    </rPh>
    <rPh sb="5" eb="7">
      <t>コウカ</t>
    </rPh>
    <phoneticPr fontId="8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</si>
  <si>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6"/>
  </si>
  <si>
    <t>（６）小農具費（使用可能期間を想定して算出）</t>
    <rPh sb="3" eb="6">
      <t>ショウノウグ</t>
    </rPh>
    <rPh sb="6" eb="7">
      <t>ヒ</t>
    </rPh>
    <phoneticPr fontId="6"/>
  </si>
  <si>
    <t>保険料</t>
    <rPh sb="0" eb="3">
      <t>ホケンリョウ</t>
    </rPh>
    <phoneticPr fontId="6"/>
  </si>
  <si>
    <t>自賠責保険</t>
    <rPh sb="0" eb="3">
      <t>ジバイセキ</t>
    </rPh>
    <rPh sb="3" eb="5">
      <t>ホケン</t>
    </rPh>
    <phoneticPr fontId="6"/>
  </si>
  <si>
    <t>普通トラック</t>
    <rPh sb="0" eb="2">
      <t>フツウ</t>
    </rPh>
    <phoneticPr fontId="6"/>
  </si>
  <si>
    <t>任意保険</t>
    <rPh sb="0" eb="2">
      <t>ニンイ</t>
    </rPh>
    <rPh sb="2" eb="4">
      <t>ホケン</t>
    </rPh>
    <phoneticPr fontId="6"/>
  </si>
  <si>
    <t>作目：</t>
  </si>
  <si>
    <t>作型：</t>
  </si>
  <si>
    <t>（２）労働需給（経営体）</t>
    <rPh sb="3" eb="5">
      <t>ロウドウ</t>
    </rPh>
    <rPh sb="5" eb="7">
      <t>ジュキュウ</t>
    </rPh>
    <rPh sb="8" eb="10">
      <t>ケイエイ</t>
    </rPh>
    <phoneticPr fontId="6"/>
  </si>
  <si>
    <t>保有労働力</t>
    <rPh sb="0" eb="2">
      <t>ホユウ</t>
    </rPh>
    <rPh sb="2" eb="5">
      <t>ロウドウリョク</t>
    </rPh>
    <phoneticPr fontId="6"/>
  </si>
  <si>
    <t>計　②</t>
    <rPh sb="0" eb="1">
      <t>ケイ</t>
    </rPh>
    <phoneticPr fontId="6"/>
  </si>
  <si>
    <t>㎡</t>
  </si>
  <si>
    <t>月</t>
    <rPh sb="0" eb="1">
      <t>ツキ</t>
    </rPh>
    <phoneticPr fontId="6"/>
  </si>
  <si>
    <t>販売量</t>
    <phoneticPr fontId="6"/>
  </si>
  <si>
    <t>販売量</t>
    <phoneticPr fontId="6"/>
  </si>
  <si>
    <t>負担面積（a）</t>
    <rPh sb="0" eb="2">
      <t>フタン</t>
    </rPh>
    <rPh sb="2" eb="4">
      <t>メンセキ</t>
    </rPh>
    <phoneticPr fontId="6"/>
  </si>
  <si>
    <t>数量</t>
    <phoneticPr fontId="6"/>
  </si>
  <si>
    <t>重油</t>
    <rPh sb="0" eb="2">
      <t>ジュウユ</t>
    </rPh>
    <phoneticPr fontId="6"/>
  </si>
  <si>
    <t>研修費</t>
    <rPh sb="0" eb="3">
      <t>ケンシュウヒ</t>
    </rPh>
    <phoneticPr fontId="6"/>
  </si>
  <si>
    <t>管理雑費</t>
    <rPh sb="0" eb="2">
      <t>カンリ</t>
    </rPh>
    <rPh sb="2" eb="4">
      <t>ザッピ</t>
    </rPh>
    <phoneticPr fontId="6"/>
  </si>
  <si>
    <t>農業経営費</t>
    <rPh sb="0" eb="2">
      <t>ノウギョウ</t>
    </rPh>
    <rPh sb="2" eb="4">
      <t>ケイエイ</t>
    </rPh>
    <rPh sb="4" eb="5">
      <t>ヒ</t>
    </rPh>
    <phoneticPr fontId="6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</si>
  <si>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6"/>
  </si>
  <si>
    <t>雇用労賃　④</t>
    <rPh sb="0" eb="2">
      <t>コヨウ</t>
    </rPh>
    <rPh sb="2" eb="4">
      <t>ロウチン</t>
    </rPh>
    <phoneticPr fontId="6"/>
  </si>
  <si>
    <t>経営費　計　⑤=②+③+④　</t>
    <rPh sb="0" eb="2">
      <t>ケイエイ</t>
    </rPh>
    <rPh sb="2" eb="3">
      <t>ヒ</t>
    </rPh>
    <rPh sb="4" eb="5">
      <t>ケイ</t>
    </rPh>
    <phoneticPr fontId="6"/>
  </si>
  <si>
    <t>雇用労賃=</t>
    <rPh sb="0" eb="2">
      <t>コヨウ</t>
    </rPh>
    <rPh sb="2" eb="4">
      <t>ロウチン</t>
    </rPh>
    <phoneticPr fontId="6"/>
  </si>
  <si>
    <t>円/時間</t>
    <rPh sb="0" eb="1">
      <t>エン</t>
    </rPh>
    <rPh sb="2" eb="4">
      <t>ジカン</t>
    </rPh>
    <phoneticPr fontId="6"/>
  </si>
  <si>
    <t>所　　得　⑥=①-⑤</t>
    <rPh sb="0" eb="1">
      <t>トコロ</t>
    </rPh>
    <rPh sb="3" eb="4">
      <t>エ</t>
    </rPh>
    <phoneticPr fontId="6"/>
  </si>
  <si>
    <t>所　得　率　⑦=⑥÷①</t>
    <rPh sb="0" eb="1">
      <t>トコロ</t>
    </rPh>
    <rPh sb="2" eb="3">
      <t>エ</t>
    </rPh>
    <rPh sb="4" eb="5">
      <t>リツ</t>
    </rPh>
    <phoneticPr fontId="6"/>
  </si>
  <si>
    <t>家族労働時間</t>
    <rPh sb="0" eb="2">
      <t>カゾク</t>
    </rPh>
    <rPh sb="2" eb="4">
      <t>ロウドウ</t>
    </rPh>
    <rPh sb="4" eb="6">
      <t>ジカン</t>
    </rPh>
    <phoneticPr fontId="6"/>
  </si>
  <si>
    <t>時間</t>
    <rPh sb="0" eb="2">
      <t>ジカン</t>
    </rPh>
    <phoneticPr fontId="6"/>
  </si>
  <si>
    <t>雇用労働時間</t>
    <rPh sb="0" eb="2">
      <t>コヨウ</t>
    </rPh>
    <rPh sb="2" eb="4">
      <t>ロウドウ</t>
    </rPh>
    <rPh sb="4" eb="6">
      <t>ジカン</t>
    </rPh>
    <phoneticPr fontId="6"/>
  </si>
  <si>
    <t>所要労働時間　⑧</t>
    <rPh sb="0" eb="2">
      <t>ショヨウ</t>
    </rPh>
    <rPh sb="2" eb="4">
      <t>ロウドウ</t>
    </rPh>
    <rPh sb="4" eb="6">
      <t>ジカン</t>
    </rPh>
    <phoneticPr fontId="6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</si>
  <si>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6"/>
  </si>
  <si>
    <t>備　　　　　　　　　　　　　　　　　　　　考</t>
    <rPh sb="0" eb="1">
      <t>ソナエ</t>
    </rPh>
    <rPh sb="21" eb="22">
      <t>コウ</t>
    </rPh>
    <phoneticPr fontId="6"/>
  </si>
  <si>
    <t>区　　　　　　　　　　　　　　　　　　　　分</t>
    <rPh sb="0" eb="1">
      <t>ク</t>
    </rPh>
    <rPh sb="21" eb="22">
      <t>ブン</t>
    </rPh>
    <phoneticPr fontId="6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</si>
  <si>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6"/>
  </si>
  <si>
    <t>販売費・一般管理費の</t>
    <rPh sb="0" eb="3">
      <t>ハンバイヒ</t>
    </rPh>
    <rPh sb="4" eb="6">
      <t>イッパン</t>
    </rPh>
    <rPh sb="6" eb="9">
      <t>カンリヒ</t>
    </rPh>
    <phoneticPr fontId="6"/>
  </si>
  <si>
    <t>（１）自給飼料費</t>
    <rPh sb="3" eb="5">
      <t>ジキュウ</t>
    </rPh>
    <rPh sb="5" eb="7">
      <t>シリョウ</t>
    </rPh>
    <rPh sb="7" eb="8">
      <t>ヒ</t>
    </rPh>
    <phoneticPr fontId="6"/>
  </si>
  <si>
    <t>種子</t>
    <rPh sb="0" eb="2">
      <t>シュシ</t>
    </rPh>
    <phoneticPr fontId="6"/>
  </si>
  <si>
    <t>（２）購入飼料費</t>
    <rPh sb="3" eb="5">
      <t>コウニュウ</t>
    </rPh>
    <rPh sb="5" eb="7">
      <t>シリョウ</t>
    </rPh>
    <rPh sb="7" eb="8">
      <t>ヒ</t>
    </rPh>
    <phoneticPr fontId="6"/>
  </si>
  <si>
    <t>購入粗飼料</t>
    <rPh sb="0" eb="2">
      <t>コウニュウ</t>
    </rPh>
    <rPh sb="2" eb="5">
      <t>ソシリョウ</t>
    </rPh>
    <phoneticPr fontId="6"/>
  </si>
  <si>
    <t>配合飼料</t>
    <rPh sb="0" eb="2">
      <t>ハイゴウ</t>
    </rPh>
    <rPh sb="2" eb="4">
      <t>シリョウ</t>
    </rPh>
    <phoneticPr fontId="6"/>
  </si>
  <si>
    <t>（ア）自給飼料費</t>
    <rPh sb="3" eb="5">
      <t>ジキュウ</t>
    </rPh>
    <rPh sb="5" eb="7">
      <t>シリョウ</t>
    </rPh>
    <rPh sb="7" eb="8">
      <t>ヒ</t>
    </rPh>
    <phoneticPr fontId="6"/>
  </si>
  <si>
    <t>購入飼料費</t>
    <rPh sb="0" eb="2">
      <t>コウニュウ</t>
    </rPh>
    <rPh sb="2" eb="4">
      <t>シリョウ</t>
    </rPh>
    <rPh sb="4" eb="5">
      <t>ヒ</t>
    </rPh>
    <phoneticPr fontId="6"/>
  </si>
  <si>
    <t>（イ）購入飼料費</t>
    <rPh sb="3" eb="5">
      <t>コウニュウ</t>
    </rPh>
    <rPh sb="5" eb="7">
      <t>シリョウ</t>
    </rPh>
    <rPh sb="7" eb="8">
      <t>ヒ</t>
    </rPh>
    <phoneticPr fontId="6"/>
  </si>
  <si>
    <t>備　考</t>
    <rPh sb="0" eb="1">
      <t>ソナエ</t>
    </rPh>
    <rPh sb="2" eb="3">
      <t>コウ</t>
    </rPh>
    <phoneticPr fontId="6"/>
  </si>
  <si>
    <t>合　計</t>
    <rPh sb="0" eb="1">
      <t>ア</t>
    </rPh>
    <rPh sb="2" eb="3">
      <t>ケイ</t>
    </rPh>
    <phoneticPr fontId="6"/>
  </si>
  <si>
    <t>８　経費の算出基礎</t>
    <rPh sb="2" eb="4">
      <t>ケイヒ</t>
    </rPh>
    <rPh sb="5" eb="7">
      <t>サンシュツ</t>
    </rPh>
    <rPh sb="7" eb="9">
      <t>キソ</t>
    </rPh>
    <phoneticPr fontId="6"/>
  </si>
  <si>
    <t>肉用牛個別経営体</t>
    <rPh sb="0" eb="2">
      <t>ニクヨウ</t>
    </rPh>
    <rPh sb="2" eb="3">
      <t>ウシ</t>
    </rPh>
    <rPh sb="3" eb="5">
      <t>コベツ</t>
    </rPh>
    <rPh sb="5" eb="8">
      <t>ケイエイタイ</t>
    </rPh>
    <phoneticPr fontId="5"/>
  </si>
  <si>
    <t>全域</t>
    <rPh sb="0" eb="1">
      <t>ゼンイキ</t>
    </rPh>
    <phoneticPr fontId="5"/>
  </si>
  <si>
    <t>畑</t>
  </si>
  <si>
    <t>飼料作物（含放牧）</t>
    <rPh sb="0" eb="2">
      <t>シリョウ</t>
    </rPh>
    <rPh sb="2" eb="4">
      <t>サクモツ</t>
    </rPh>
    <rPh sb="5" eb="6">
      <t>フク</t>
    </rPh>
    <rPh sb="6" eb="8">
      <t>ホウボク</t>
    </rPh>
    <phoneticPr fontId="5"/>
  </si>
  <si>
    <t>家畜</t>
    <rPh sb="0" eb="2">
      <t>カチク</t>
    </rPh>
    <phoneticPr fontId="6"/>
  </si>
  <si>
    <t>施設・機械</t>
    <rPh sb="0" eb="2">
      <t>シセツ</t>
    </rPh>
    <rPh sb="3" eb="5">
      <t>キカイ</t>
    </rPh>
    <phoneticPr fontId="6"/>
  </si>
  <si>
    <t>対象</t>
    <phoneticPr fontId="6"/>
  </si>
  <si>
    <t>１　対象経営の概要</t>
    <phoneticPr fontId="5"/>
  </si>
  <si>
    <t>保有労働力</t>
    <phoneticPr fontId="6"/>
  </si>
  <si>
    <t>作　   物　   別　   作  　付   　規　   模</t>
    <phoneticPr fontId="6"/>
  </si>
  <si>
    <t>経　営　耕　地　面　積</t>
    <phoneticPr fontId="6"/>
  </si>
  <si>
    <t>対 象 作 目</t>
    <phoneticPr fontId="6"/>
  </si>
  <si>
    <t>そ の 他 の 作 物</t>
    <phoneticPr fontId="6"/>
  </si>
  <si>
    <t>面   積</t>
    <phoneticPr fontId="6"/>
  </si>
  <si>
    <t>田</t>
    <phoneticPr fontId="6"/>
  </si>
  <si>
    <t>7.5ha</t>
    <phoneticPr fontId="6"/>
  </si>
  <si>
    <t>草  地</t>
    <phoneticPr fontId="6"/>
  </si>
  <si>
    <t>作     　目</t>
    <phoneticPr fontId="5"/>
  </si>
  <si>
    <t>面　積</t>
    <phoneticPr fontId="5"/>
  </si>
  <si>
    <t>4.5ha</t>
    <phoneticPr fontId="6"/>
  </si>
  <si>
    <t>3.0ha</t>
    <phoneticPr fontId="5"/>
  </si>
  <si>
    <t>凡例</t>
    <phoneticPr fontId="6"/>
  </si>
  <si>
    <t>収穫 ：</t>
    <phoneticPr fontId="6"/>
  </si>
  <si>
    <t>２　前提条件</t>
    <phoneticPr fontId="6"/>
  </si>
  <si>
    <t>圃場整備完了水田，1ha以上の団地化</t>
    <rPh sb="0" eb="1">
      <t>ホ</t>
    </rPh>
    <rPh sb="1" eb="2">
      <t>ジョウ</t>
    </rPh>
    <rPh sb="2" eb="4">
      <t>セイビ</t>
    </rPh>
    <rPh sb="4" eb="6">
      <t>カンリョウ</t>
    </rPh>
    <rPh sb="6" eb="8">
      <t>スイデン</t>
    </rPh>
    <rPh sb="12" eb="14">
      <t>イジョウ</t>
    </rPh>
    <rPh sb="15" eb="17">
      <t>ダンチ</t>
    </rPh>
    <rPh sb="17" eb="18">
      <t>カ</t>
    </rPh>
    <phoneticPr fontId="5"/>
  </si>
  <si>
    <t>常時飼養頭数</t>
    <rPh sb="0" eb="2">
      <t>ジョウジ</t>
    </rPh>
    <rPh sb="2" eb="4">
      <t>シヨウ</t>
    </rPh>
    <rPh sb="4" eb="6">
      <t>トウスウ</t>
    </rPh>
    <phoneticPr fontId="5"/>
  </si>
  <si>
    <t>家族労働力2.5人</t>
    <rPh sb="0" eb="2">
      <t>カゾク</t>
    </rPh>
    <rPh sb="2" eb="4">
      <t>ロウドウ</t>
    </rPh>
    <rPh sb="4" eb="5">
      <t>リョク</t>
    </rPh>
    <rPh sb="8" eb="9">
      <t>ニン</t>
    </rPh>
    <phoneticPr fontId="5"/>
  </si>
  <si>
    <t>取得価格</t>
    <rPh sb="0" eb="2">
      <t>シュトク</t>
    </rPh>
    <phoneticPr fontId="6"/>
  </si>
  <si>
    <t>堆肥舎（新規取得）</t>
    <rPh sb="0" eb="2">
      <t>タイヒ</t>
    </rPh>
    <rPh sb="2" eb="3">
      <t>シャ</t>
    </rPh>
    <rPh sb="4" eb="6">
      <t>シンキ</t>
    </rPh>
    <rPh sb="6" eb="8">
      <t>シュトク</t>
    </rPh>
    <phoneticPr fontId="6"/>
  </si>
  <si>
    <t>農器具舎（新規取得）</t>
    <rPh sb="0" eb="1">
      <t>ノウ</t>
    </rPh>
    <rPh sb="1" eb="3">
      <t>キグ</t>
    </rPh>
    <rPh sb="3" eb="4">
      <t>シャ</t>
    </rPh>
    <rPh sb="5" eb="7">
      <t>シンキ</t>
    </rPh>
    <rPh sb="7" eb="9">
      <t>シュトク</t>
    </rPh>
    <phoneticPr fontId="6"/>
  </si>
  <si>
    <t>ロールベーラー</t>
  </si>
  <si>
    <t>ラッピングマシン</t>
  </si>
  <si>
    <t>ベールグリッパ</t>
  </si>
  <si>
    <t>鎮圧ローラー</t>
    <rPh sb="0" eb="2">
      <t>チンアツ</t>
    </rPh>
    <phoneticPr fontId="6"/>
  </si>
  <si>
    <t>繁殖牛</t>
    <rPh sb="0" eb="2">
      <t>ハンショク</t>
    </rPh>
    <rPh sb="2" eb="3">
      <t>ウシ</t>
    </rPh>
    <phoneticPr fontId="6"/>
  </si>
  <si>
    <t>ｺﾝｸﾘｰﾄ床，ﾌﾞﾛｯｸ壁，屋根等木造スレート</t>
    <rPh sb="6" eb="7">
      <t>ユカ</t>
    </rPh>
    <rPh sb="13" eb="14">
      <t>カベ</t>
    </rPh>
    <rPh sb="15" eb="17">
      <t>ヤネ</t>
    </rPh>
    <rPh sb="17" eb="18">
      <t>トウ</t>
    </rPh>
    <rPh sb="18" eb="20">
      <t>モクゾウ</t>
    </rPh>
    <phoneticPr fontId="6"/>
  </si>
  <si>
    <t>家畜共済</t>
    <rPh sb="0" eb="2">
      <t>カチク</t>
    </rPh>
    <rPh sb="2" eb="4">
      <t>キョウサイ</t>
    </rPh>
    <phoneticPr fontId="6"/>
  </si>
  <si>
    <t>数量</t>
    <rPh sb="0" eb="2">
      <t>スウリョウ</t>
    </rPh>
    <phoneticPr fontId="6"/>
  </si>
  <si>
    <t>繁殖雌牛</t>
    <rPh sb="0" eb="2">
      <t>ハンショク</t>
    </rPh>
    <rPh sb="2" eb="3">
      <t>メス</t>
    </rPh>
    <rPh sb="3" eb="4">
      <t>ウシ</t>
    </rPh>
    <phoneticPr fontId="6"/>
  </si>
  <si>
    <t>子牛</t>
    <rPh sb="0" eb="2">
      <t>コウシ</t>
    </rPh>
    <phoneticPr fontId="6"/>
  </si>
  <si>
    <t>掛金</t>
    <rPh sb="0" eb="2">
      <t>カケキン</t>
    </rPh>
    <phoneticPr fontId="8"/>
  </si>
  <si>
    <t>老廃牛販売収入</t>
    <rPh sb="0" eb="2">
      <t>ロウハイ</t>
    </rPh>
    <rPh sb="2" eb="3">
      <t>ギュウ</t>
    </rPh>
    <rPh sb="3" eb="5">
      <t>ハンバイ</t>
    </rPh>
    <rPh sb="5" eb="7">
      <t>シュウニュウ</t>
    </rPh>
    <phoneticPr fontId="6"/>
  </si>
  <si>
    <t>イタリアンライグラス</t>
    <phoneticPr fontId="6"/>
  </si>
  <si>
    <t>堆肥散布</t>
    <rPh sb="0" eb="2">
      <t>タイヒ</t>
    </rPh>
    <rPh sb="2" eb="4">
      <t>サンプ</t>
    </rPh>
    <phoneticPr fontId="6"/>
  </si>
  <si>
    <t>石灰資材散布</t>
    <rPh sb="0" eb="2">
      <t>セッカイ</t>
    </rPh>
    <rPh sb="2" eb="4">
      <t>シザイ</t>
    </rPh>
    <rPh sb="4" eb="6">
      <t>サンプ</t>
    </rPh>
    <phoneticPr fontId="6"/>
  </si>
  <si>
    <t>排水溝設置</t>
    <rPh sb="0" eb="2">
      <t>ハイスイ</t>
    </rPh>
    <rPh sb="2" eb="3">
      <t>ミゾ</t>
    </rPh>
    <rPh sb="3" eb="5">
      <t>セッチ</t>
    </rPh>
    <phoneticPr fontId="6"/>
  </si>
  <si>
    <t>追肥</t>
    <rPh sb="0" eb="2">
      <t>ツイヒ</t>
    </rPh>
    <phoneticPr fontId="6"/>
  </si>
  <si>
    <t>刈取・予乾（反転）</t>
    <rPh sb="0" eb="2">
      <t>カリト</t>
    </rPh>
    <rPh sb="3" eb="4">
      <t>ヨ</t>
    </rPh>
    <rPh sb="4" eb="5">
      <t>イヌイ</t>
    </rPh>
    <rPh sb="6" eb="8">
      <t>ハンテン</t>
    </rPh>
    <phoneticPr fontId="6"/>
  </si>
  <si>
    <t>梱包</t>
    <rPh sb="0" eb="2">
      <t>コンポウ</t>
    </rPh>
    <phoneticPr fontId="6"/>
  </si>
  <si>
    <t>運搬</t>
    <rPh sb="0" eb="2">
      <t>ウンパン</t>
    </rPh>
    <phoneticPr fontId="6"/>
  </si>
  <si>
    <t>10月上旬</t>
    <rPh sb="2" eb="3">
      <t>ガツ</t>
    </rPh>
    <rPh sb="3" eb="5">
      <t>ジョウジュン</t>
    </rPh>
    <phoneticPr fontId="6"/>
  </si>
  <si>
    <t>３月上旬</t>
    <rPh sb="1" eb="2">
      <t>ガツ</t>
    </rPh>
    <rPh sb="2" eb="4">
      <t>ジョウジュン</t>
    </rPh>
    <phoneticPr fontId="6"/>
  </si>
  <si>
    <t>フロントローダー・マニュアスプレッダー</t>
    <phoneticPr fontId="6"/>
  </si>
  <si>
    <t>ブロードキャスター</t>
    <phoneticPr fontId="6"/>
  </si>
  <si>
    <t>ブロードキャスター・鎮圧ローラー</t>
    <rPh sb="10" eb="12">
      <t>チンアツ</t>
    </rPh>
    <phoneticPr fontId="6"/>
  </si>
  <si>
    <t>溝上機</t>
    <rPh sb="0" eb="1">
      <t>ミゾ</t>
    </rPh>
    <rPh sb="1" eb="2">
      <t>ア</t>
    </rPh>
    <rPh sb="2" eb="3">
      <t>キ</t>
    </rPh>
    <phoneticPr fontId="6"/>
  </si>
  <si>
    <t>ロールベーラ（90㎝×80㎝）</t>
    <phoneticPr fontId="6"/>
  </si>
  <si>
    <t>堆肥　２トン</t>
    <rPh sb="0" eb="2">
      <t>タイヒ</t>
    </rPh>
    <phoneticPr fontId="6"/>
  </si>
  <si>
    <t>石灰質資材　　　　　　　　　100㎏</t>
    <rPh sb="0" eb="2">
      <t>セッカイ</t>
    </rPh>
    <rPh sb="2" eb="3">
      <t>シツ</t>
    </rPh>
    <rPh sb="3" eb="5">
      <t>シザイ</t>
    </rPh>
    <phoneticPr fontId="6"/>
  </si>
  <si>
    <t>種子３㎏</t>
    <rPh sb="0" eb="2">
      <t>シュシ</t>
    </rPh>
    <phoneticPr fontId="6"/>
  </si>
  <si>
    <t>化成肥料　　　　　　　　　　　　　　（Ｎ16，Ｋ16）　　　　　　　　　20㎏</t>
    <rPh sb="0" eb="2">
      <t>カセイ</t>
    </rPh>
    <rPh sb="2" eb="4">
      <t>ヒリョウ</t>
    </rPh>
    <phoneticPr fontId="6"/>
  </si>
  <si>
    <t>トワイン(1200ﾌｨｰﾄ１巻→50ﾛｰﾙ)</t>
    <rPh sb="14" eb="15">
      <t>カン</t>
    </rPh>
    <phoneticPr fontId="6"/>
  </si>
  <si>
    <t>ﾗｯﾌﾟﾌｨﾙﾑ（50㎝幅×1800ｍ１本→30ﾛｰﾙ）</t>
    <rPh sb="12" eb="13">
      <t>ハバ</t>
    </rPh>
    <rPh sb="20" eb="21">
      <t>ホン</t>
    </rPh>
    <phoneticPr fontId="6"/>
  </si>
  <si>
    <t>完熟堆肥使用</t>
    <rPh sb="0" eb="2">
      <t>カンジュク</t>
    </rPh>
    <rPh sb="2" eb="4">
      <t>タイヒ</t>
    </rPh>
    <rPh sb="4" eb="6">
      <t>シヨウ</t>
    </rPh>
    <phoneticPr fontId="6"/>
  </si>
  <si>
    <t>イタリアンライグラス+飼料用ヒエ</t>
    <rPh sb="11" eb="13">
      <t>シリョウ</t>
    </rPh>
    <rPh sb="13" eb="14">
      <t>ヨウ</t>
    </rPh>
    <phoneticPr fontId="6"/>
  </si>
  <si>
    <t>放牧</t>
    <rPh sb="0" eb="2">
      <t>ホウボク</t>
    </rPh>
    <phoneticPr fontId="6"/>
  </si>
  <si>
    <t>飼料ヒエ播種</t>
    <rPh sb="0" eb="2">
      <t>シリョウ</t>
    </rPh>
    <rPh sb="4" eb="6">
      <t>ハシュ</t>
    </rPh>
    <phoneticPr fontId="6"/>
  </si>
  <si>
    <t>転牧</t>
    <rPh sb="0" eb="1">
      <t>テン</t>
    </rPh>
    <rPh sb="1" eb="2">
      <t>ボク</t>
    </rPh>
    <phoneticPr fontId="6"/>
  </si>
  <si>
    <t>５月中旬～６月中旬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6"/>
  </si>
  <si>
    <t>ブロードキャスター</t>
    <phoneticPr fontId="6"/>
  </si>
  <si>
    <t>ブロードキャスター・ロータリー</t>
    <phoneticPr fontId="6"/>
  </si>
  <si>
    <t>電気牧柵，水槽</t>
    <rPh sb="0" eb="2">
      <t>デンキ</t>
    </rPh>
    <rPh sb="2" eb="4">
      <t>ボクサク</t>
    </rPh>
    <rPh sb="5" eb="7">
      <t>スイソウ</t>
    </rPh>
    <phoneticPr fontId="6"/>
  </si>
  <si>
    <t>６　固定資本装備と減価償却費</t>
    <phoneticPr fontId="6"/>
  </si>
  <si>
    <t>本作目
負担割合</t>
    <phoneticPr fontId="6"/>
  </si>
  <si>
    <t>①（円）</t>
    <phoneticPr fontId="6"/>
  </si>
  <si>
    <t>②（％）</t>
    <phoneticPr fontId="6"/>
  </si>
  <si>
    <t>④ （％）</t>
    <phoneticPr fontId="6"/>
  </si>
  <si>
    <t>⑥（％）</t>
    <phoneticPr fontId="6"/>
  </si>
  <si>
    <t>⑧（年）</t>
    <phoneticPr fontId="6"/>
  </si>
  <si>
    <t>43ps</t>
    <phoneticPr fontId="6"/>
  </si>
  <si>
    <t>ダンプトラック</t>
    <phoneticPr fontId="6"/>
  </si>
  <si>
    <t>ブロードキャスタ</t>
    <phoneticPr fontId="6"/>
  </si>
  <si>
    <t>ロータリー</t>
    <phoneticPr fontId="6"/>
  </si>
  <si>
    <t>耕幅180㎝</t>
    <rPh sb="0" eb="1">
      <t>タガヤ</t>
    </rPh>
    <rPh sb="1" eb="2">
      <t>ハバ</t>
    </rPh>
    <phoneticPr fontId="6"/>
  </si>
  <si>
    <t>作業幅200㎝</t>
    <rPh sb="0" eb="2">
      <t>サギョウ</t>
    </rPh>
    <rPh sb="2" eb="3">
      <t>ハバ</t>
    </rPh>
    <phoneticPr fontId="6"/>
  </si>
  <si>
    <t>ディスクモア</t>
    <phoneticPr fontId="6"/>
  </si>
  <si>
    <t>作業幅125㎝</t>
    <rPh sb="0" eb="2">
      <t>サギョウ</t>
    </rPh>
    <rPh sb="2" eb="3">
      <t>ハバ</t>
    </rPh>
    <phoneticPr fontId="6"/>
  </si>
  <si>
    <t>テッターレーキ</t>
    <phoneticPr fontId="6"/>
  </si>
  <si>
    <t>径90㎝×高さ85㎝</t>
    <rPh sb="0" eb="1">
      <t>ケイ</t>
    </rPh>
    <rPh sb="5" eb="6">
      <t>タカ</t>
    </rPh>
    <phoneticPr fontId="6"/>
  </si>
  <si>
    <t>けん引式</t>
    <rPh sb="2" eb="3">
      <t>イン</t>
    </rPh>
    <rPh sb="3" eb="4">
      <t>シキ</t>
    </rPh>
    <phoneticPr fontId="6"/>
  </si>
  <si>
    <t>　　合　　計</t>
    <phoneticPr fontId="6"/>
  </si>
  <si>
    <t>フロントローダー</t>
    <phoneticPr fontId="6"/>
  </si>
  <si>
    <t>頭</t>
    <rPh sb="0" eb="1">
      <t>トウ</t>
    </rPh>
    <phoneticPr fontId="6"/>
  </si>
  <si>
    <t>飼料用カッター</t>
    <rPh sb="0" eb="2">
      <t>シリョウ</t>
    </rPh>
    <rPh sb="2" eb="3">
      <t>ヨウ</t>
    </rPh>
    <phoneticPr fontId="6"/>
  </si>
  <si>
    <t>（自家育成牛取得価格352,500円（15,000円×23.5ヶ月））</t>
    <rPh sb="1" eb="3">
      <t>ジカ</t>
    </rPh>
    <rPh sb="3" eb="5">
      <t>イクセイ</t>
    </rPh>
    <rPh sb="5" eb="6">
      <t>ウシ</t>
    </rPh>
    <rPh sb="6" eb="8">
      <t>シュトク</t>
    </rPh>
    <rPh sb="8" eb="10">
      <t>カカク</t>
    </rPh>
    <rPh sb="17" eb="18">
      <t>エン</t>
    </rPh>
    <rPh sb="25" eb="26">
      <t>エン</t>
    </rPh>
    <rPh sb="32" eb="33">
      <t>ゲツ</t>
    </rPh>
    <phoneticPr fontId="6"/>
  </si>
  <si>
    <t>ラッピング</t>
  </si>
  <si>
    <t>ダンプトラック2ｔ・フロントローダー</t>
    <phoneticPr fontId="6"/>
  </si>
  <si>
    <t>ラッピングマシン・ベールグラブ</t>
    <phoneticPr fontId="6"/>
  </si>
  <si>
    <t>モアー・テッダーレーキ</t>
    <phoneticPr fontId="6"/>
  </si>
  <si>
    <t>ダンプトラック</t>
    <phoneticPr fontId="6"/>
  </si>
  <si>
    <t>燃料費</t>
    <rPh sb="0" eb="3">
      <t>ネンリョウヒ</t>
    </rPh>
    <phoneticPr fontId="6"/>
  </si>
  <si>
    <t>飼料用ヒエ</t>
    <rPh sb="0" eb="2">
      <t>シリョウ</t>
    </rPh>
    <rPh sb="2" eb="3">
      <t>ヨウ</t>
    </rPh>
    <phoneticPr fontId="6"/>
  </si>
  <si>
    <t>諸材料</t>
    <rPh sb="0" eb="1">
      <t>ショ</t>
    </rPh>
    <rPh sb="1" eb="3">
      <t>ザイリョウ</t>
    </rPh>
    <phoneticPr fontId="6"/>
  </si>
  <si>
    <t>㎏</t>
  </si>
  <si>
    <t>石灰資材</t>
    <rPh sb="0" eb="2">
      <t>セッカイ</t>
    </rPh>
    <rPh sb="2" eb="4">
      <t>シザイ</t>
    </rPh>
    <phoneticPr fontId="6"/>
  </si>
  <si>
    <t>元肥</t>
    <rPh sb="0" eb="1">
      <t>モト</t>
    </rPh>
    <phoneticPr fontId="6"/>
  </si>
  <si>
    <t>マニュアスプレッダー</t>
    <phoneticPr fontId="6"/>
  </si>
  <si>
    <t>2ｔ</t>
  </si>
  <si>
    <t>燃料</t>
    <rPh sb="0" eb="2">
      <t>ネンリョウ</t>
    </rPh>
    <phoneticPr fontId="6"/>
  </si>
  <si>
    <t>診療衛生費</t>
  </si>
  <si>
    <t>7.5ha（畜産部門・借地6.5ha）</t>
    <rPh sb="6" eb="8">
      <t>チクサン</t>
    </rPh>
    <rPh sb="8" eb="10">
      <t>ブモン</t>
    </rPh>
    <phoneticPr fontId="6"/>
  </si>
  <si>
    <t>種付料</t>
    <rPh sb="0" eb="2">
      <t>タネツ</t>
    </rPh>
    <rPh sb="2" eb="3">
      <t>リョウ</t>
    </rPh>
    <phoneticPr fontId="6"/>
  </si>
  <si>
    <t>敷料費</t>
    <rPh sb="0" eb="2">
      <t>シキリョウ</t>
    </rPh>
    <rPh sb="2" eb="3">
      <t>ヒ</t>
    </rPh>
    <phoneticPr fontId="6"/>
  </si>
  <si>
    <t>支払消費税</t>
    <rPh sb="0" eb="2">
      <t>シハラ</t>
    </rPh>
    <rPh sb="2" eb="5">
      <t>ショウヒゼイ</t>
    </rPh>
    <phoneticPr fontId="6"/>
  </si>
  <si>
    <t>借地6.5ha</t>
    <rPh sb="0" eb="2">
      <t>シャクチ</t>
    </rPh>
    <phoneticPr fontId="6"/>
  </si>
  <si>
    <t>８月下旬</t>
    <rPh sb="1" eb="2">
      <t>ガツ</t>
    </rPh>
    <rPh sb="2" eb="4">
      <t>ゲジュン</t>
    </rPh>
    <phoneticPr fontId="6"/>
  </si>
  <si>
    <t>耕起・整地</t>
    <rPh sb="0" eb="1">
      <t>タガヤ</t>
    </rPh>
    <rPh sb="3" eb="5">
      <t>セイチ</t>
    </rPh>
    <phoneticPr fontId="6"/>
  </si>
  <si>
    <t>ロータリー</t>
    <phoneticPr fontId="6"/>
  </si>
  <si>
    <t>施肥・播種・鎮圧</t>
    <rPh sb="0" eb="1">
      <t>セ</t>
    </rPh>
    <rPh sb="3" eb="5">
      <t>ハシュ</t>
    </rPh>
    <rPh sb="6" eb="8">
      <t>チンアツ</t>
    </rPh>
    <phoneticPr fontId="6"/>
  </si>
  <si>
    <t>９月上旬～10月上旬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6"/>
  </si>
  <si>
    <t>テッダーレーキ</t>
    <phoneticPr fontId="6"/>
  </si>
  <si>
    <t>２回刈（１番草５月上旬，２番草６月上旬）とする。</t>
    <phoneticPr fontId="6"/>
  </si>
  <si>
    <t>反転・集草</t>
    <rPh sb="0" eb="2">
      <t>ハンテン</t>
    </rPh>
    <rPh sb="3" eb="4">
      <t>シュウ</t>
    </rPh>
    <rPh sb="4" eb="5">
      <t>クサ</t>
    </rPh>
    <phoneticPr fontId="6"/>
  </si>
  <si>
    <t>稲ワラ収集</t>
    <rPh sb="0" eb="1">
      <t>イネ</t>
    </rPh>
    <rPh sb="3" eb="5">
      <t>シュウシュウ</t>
    </rPh>
    <phoneticPr fontId="6"/>
  </si>
  <si>
    <t>トワイン</t>
  </si>
  <si>
    <t>ラップフィルム</t>
  </si>
  <si>
    <t>堆肥散布</t>
    <rPh sb="0" eb="2">
      <t>タイヒ</t>
    </rPh>
    <rPh sb="2" eb="4">
      <t>サンプ</t>
    </rPh>
    <phoneticPr fontId="6"/>
  </si>
  <si>
    <t>ダンプトラック・フロントローダー・マニュアスプレッダー</t>
    <phoneticPr fontId="6"/>
  </si>
  <si>
    <t>堆肥　1トン</t>
    <rPh sb="0" eb="2">
      <t>タイヒ</t>
    </rPh>
    <phoneticPr fontId="6"/>
  </si>
  <si>
    <t>諸材料（牧草）</t>
    <rPh sb="0" eb="1">
      <t>ショ</t>
    </rPh>
    <rPh sb="1" eb="3">
      <t>ザイリョウ</t>
    </rPh>
    <rPh sb="4" eb="6">
      <t>ボクソウ</t>
    </rPh>
    <phoneticPr fontId="6"/>
  </si>
  <si>
    <t>諸材料（ワラ）</t>
    <rPh sb="0" eb="1">
      <t>ショ</t>
    </rPh>
    <rPh sb="1" eb="3">
      <t>ザイリョウ</t>
    </rPh>
    <phoneticPr fontId="6"/>
  </si>
  <si>
    <t>ﾗｯﾌﾟﾌｨﾙﾑ（50㎝幅×1800ｍ１本→30ﾛｰﾙ）　　　　　　　　　　　　　　　　　　　　　　　　　　　（収集量の50％をﾗｯﾋﾟﾝｸﾞすると想定）</t>
    <rPh sb="12" eb="13">
      <t>ハバ</t>
    </rPh>
    <rPh sb="20" eb="21">
      <t>ホン</t>
    </rPh>
    <rPh sb="56" eb="58">
      <t>シュウシュウ</t>
    </rPh>
    <rPh sb="58" eb="59">
      <t>リョウ</t>
    </rPh>
    <rPh sb="74" eb="76">
      <t>ソウテイ</t>
    </rPh>
    <phoneticPr fontId="6"/>
  </si>
  <si>
    <t>飼料調理給与</t>
    <rPh sb="0" eb="2">
      <t>シリョウ</t>
    </rPh>
    <rPh sb="2" eb="4">
      <t>チョウリ</t>
    </rPh>
    <rPh sb="4" eb="6">
      <t>キュウヨ</t>
    </rPh>
    <phoneticPr fontId="6"/>
  </si>
  <si>
    <t>敷料搬出入</t>
    <rPh sb="0" eb="2">
      <t>シキリョウ</t>
    </rPh>
    <rPh sb="2" eb="4">
      <t>ハンシュツ</t>
    </rPh>
    <rPh sb="4" eb="5">
      <t>イ</t>
    </rPh>
    <phoneticPr fontId="6"/>
  </si>
  <si>
    <t>収穫・調整（3ha）</t>
    <rPh sb="0" eb="2">
      <t>シュウカク</t>
    </rPh>
    <rPh sb="3" eb="5">
      <t>チョウセイ</t>
    </rPh>
    <phoneticPr fontId="6"/>
  </si>
  <si>
    <t>自給（放牧）飼料生産</t>
    <rPh sb="0" eb="2">
      <t>ジキュウ</t>
    </rPh>
    <rPh sb="3" eb="5">
      <t>ホウボク</t>
    </rPh>
    <rPh sb="6" eb="8">
      <t>シリョウ</t>
    </rPh>
    <rPh sb="8" eb="10">
      <t>セイサン</t>
    </rPh>
    <phoneticPr fontId="6"/>
  </si>
  <si>
    <t>稲ワラ堆肥交換</t>
    <rPh sb="0" eb="1">
      <t>イネ</t>
    </rPh>
    <rPh sb="3" eb="5">
      <t>タイヒ</t>
    </rPh>
    <rPh sb="5" eb="7">
      <t>コウカン</t>
    </rPh>
    <phoneticPr fontId="6"/>
  </si>
  <si>
    <t>自給飼料作物：</t>
    <rPh sb="0" eb="2">
      <t>ジキュウ</t>
    </rPh>
    <rPh sb="2" eb="4">
      <t>シリョウ</t>
    </rPh>
    <rPh sb="4" eb="6">
      <t>サクモツ</t>
    </rPh>
    <phoneticPr fontId="6"/>
  </si>
  <si>
    <t>ｲﾀﾘｱﾝﾗｲｸﾞﾗｽ7.5ha栽培（採草利用3ha+放牧利用4.5ha）</t>
    <rPh sb="16" eb="18">
      <t>サイバイ</t>
    </rPh>
    <rPh sb="20" eb="22">
      <t>リヨウ</t>
    </rPh>
    <rPh sb="22" eb="23">
      <t>３</t>
    </rPh>
    <rPh sb="26" eb="28">
      <t>ホウボク</t>
    </rPh>
    <rPh sb="28" eb="30">
      <t>リヨウ</t>
    </rPh>
    <rPh sb="30" eb="33">
      <t>４．５</t>
    </rPh>
    <phoneticPr fontId="6"/>
  </si>
  <si>
    <t>稲ワラ堆肥交換：</t>
    <rPh sb="0" eb="1">
      <t>イネ</t>
    </rPh>
    <rPh sb="3" eb="7">
      <t>タイヒコウカン</t>
    </rPh>
    <phoneticPr fontId="6"/>
  </si>
  <si>
    <t>飼養管理（通年）</t>
    <rPh sb="0" eb="2">
      <t>シヨウ</t>
    </rPh>
    <rPh sb="2" eb="4">
      <t>カンリ</t>
    </rPh>
    <rPh sb="5" eb="7">
      <t>ツウネン</t>
    </rPh>
    <phoneticPr fontId="6"/>
  </si>
  <si>
    <t>自給飼料作型</t>
    <rPh sb="0" eb="2">
      <t>ジキュウ</t>
    </rPh>
    <rPh sb="2" eb="4">
      <t>シリョウ</t>
    </rPh>
    <phoneticPr fontId="6"/>
  </si>
  <si>
    <t>稲ワラ</t>
    <rPh sb="0" eb="1">
      <t>イネ</t>
    </rPh>
    <phoneticPr fontId="6"/>
  </si>
  <si>
    <t>堆肥散布（3ha）</t>
    <rPh sb="0" eb="2">
      <t>タイヒ</t>
    </rPh>
    <rPh sb="2" eb="4">
      <t>サンプ</t>
    </rPh>
    <phoneticPr fontId="6"/>
  </si>
  <si>
    <t>石灰資材散布（7.5ha）</t>
    <rPh sb="0" eb="2">
      <t>セッカイ</t>
    </rPh>
    <rPh sb="2" eb="4">
      <t>シザイ</t>
    </rPh>
    <rPh sb="4" eb="6">
      <t>サンプ</t>
    </rPh>
    <phoneticPr fontId="6"/>
  </si>
  <si>
    <t>耕起・整地（7.5ha）</t>
    <rPh sb="0" eb="2">
      <t>コウキ</t>
    </rPh>
    <rPh sb="3" eb="5">
      <t>セイチ</t>
    </rPh>
    <phoneticPr fontId="6"/>
  </si>
  <si>
    <t>施肥・播種・鎮圧（7.5ha）</t>
    <rPh sb="0" eb="1">
      <t>セ</t>
    </rPh>
    <rPh sb="1" eb="2">
      <t>ヒ</t>
    </rPh>
    <rPh sb="3" eb="5">
      <t>ハシュ</t>
    </rPh>
    <rPh sb="6" eb="8">
      <t>チンアツ</t>
    </rPh>
    <phoneticPr fontId="6"/>
  </si>
  <si>
    <t>９月上旬～９月下旬</t>
    <rPh sb="1" eb="2">
      <t>ガツ</t>
    </rPh>
    <rPh sb="2" eb="4">
      <t>ジョウジュン</t>
    </rPh>
    <rPh sb="6" eb="7">
      <t>ガツ</t>
    </rPh>
    <rPh sb="7" eb="9">
      <t>ゲジュン</t>
    </rPh>
    <phoneticPr fontId="6"/>
  </si>
  <si>
    <t>３月中旬～９月上旬</t>
    <rPh sb="1" eb="2">
      <t>ガツ</t>
    </rPh>
    <rPh sb="2" eb="4">
      <t>チュウジュン</t>
    </rPh>
    <rPh sb="6" eb="7">
      <t>ガツ</t>
    </rPh>
    <rPh sb="7" eb="9">
      <t>ジョウジュン</t>
    </rPh>
    <phoneticPr fontId="6"/>
  </si>
  <si>
    <t>４月上旬～９月上旬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6"/>
  </si>
  <si>
    <t>稲ワラ収集+堆肥交換</t>
    <rPh sb="0" eb="1">
      <t>イネ</t>
    </rPh>
    <rPh sb="3" eb="5">
      <t>シュウシュウ</t>
    </rPh>
    <rPh sb="6" eb="8">
      <t>タイヒ</t>
    </rPh>
    <rPh sb="8" eb="10">
      <t>コウカン</t>
    </rPh>
    <phoneticPr fontId="6"/>
  </si>
  <si>
    <t>軽油（栽培）</t>
    <rPh sb="0" eb="2">
      <t>ケイユ</t>
    </rPh>
    <rPh sb="3" eb="5">
      <t>サイバイ</t>
    </rPh>
    <phoneticPr fontId="6"/>
  </si>
  <si>
    <t>軽油（収穫）</t>
    <rPh sb="0" eb="2">
      <t>ケイユ</t>
    </rPh>
    <rPh sb="3" eb="5">
      <t>シュウカク</t>
    </rPh>
    <phoneticPr fontId="6"/>
  </si>
  <si>
    <t>軽油（稲ワラ堆肥）</t>
    <rPh sb="0" eb="2">
      <t>ケイユ</t>
    </rPh>
    <rPh sb="3" eb="4">
      <t>イネ</t>
    </rPh>
    <rPh sb="6" eb="8">
      <t>タイヒ</t>
    </rPh>
    <phoneticPr fontId="6"/>
  </si>
  <si>
    <t>肉用牛（繁殖・肥育）一貫経営</t>
    <rPh sb="0" eb="2">
      <t>ニクヨウ</t>
    </rPh>
    <rPh sb="2" eb="3">
      <t>ウシ</t>
    </rPh>
    <rPh sb="4" eb="6">
      <t>ハンショク</t>
    </rPh>
    <rPh sb="7" eb="9">
      <t>ヒイク</t>
    </rPh>
    <rPh sb="10" eb="12">
      <t>イッカン</t>
    </rPh>
    <rPh sb="12" eb="14">
      <t>ケイエイ</t>
    </rPh>
    <phoneticPr fontId="5"/>
  </si>
  <si>
    <t>広島食肉市場</t>
    <rPh sb="0" eb="2">
      <t>ヒロシマ</t>
    </rPh>
    <rPh sb="2" eb="6">
      <t>ショクニクシジョウ</t>
    </rPh>
    <phoneticPr fontId="5"/>
  </si>
  <si>
    <t>繁殖牛主要技術</t>
    <rPh sb="0" eb="2">
      <t>ハンショク</t>
    </rPh>
    <rPh sb="2" eb="3">
      <t>ウシ</t>
    </rPh>
    <rPh sb="3" eb="5">
      <t>シュヨウ</t>
    </rPh>
    <rPh sb="5" eb="7">
      <t>ギジュツ</t>
    </rPh>
    <phoneticPr fontId="5"/>
  </si>
  <si>
    <t>肥育牛主要技術</t>
    <rPh sb="0" eb="2">
      <t>ヒイク</t>
    </rPh>
    <phoneticPr fontId="6"/>
  </si>
  <si>
    <t>肥育牛出荷奨励金</t>
    <rPh sb="0" eb="2">
      <t>ヒイク</t>
    </rPh>
    <rPh sb="2" eb="3">
      <t>ウシ</t>
    </rPh>
    <rPh sb="3" eb="5">
      <t>シュッカ</t>
    </rPh>
    <rPh sb="5" eb="8">
      <t>ショウレイキン</t>
    </rPh>
    <phoneticPr fontId="6"/>
  </si>
  <si>
    <t>1ha機械</t>
    <phoneticPr fontId="6"/>
  </si>
  <si>
    <t>単価</t>
    <phoneticPr fontId="6"/>
  </si>
  <si>
    <t>ｲﾀﾘｱﾝﾗｲｸﾞﾗｽ</t>
    <phoneticPr fontId="6"/>
  </si>
  <si>
    <t>㎏</t>
    <phoneticPr fontId="6"/>
  </si>
  <si>
    <t>ℓ・kw／1ha</t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</si>
  <si>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</si>
  <si>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</si>
  <si>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</si>
  <si>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</si>
  <si>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</si>
  <si>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小　計</t>
    <phoneticPr fontId="6"/>
  </si>
  <si>
    <t>F</t>
    <phoneticPr fontId="6"/>
  </si>
  <si>
    <t>ガソリン</t>
    <phoneticPr fontId="6"/>
  </si>
  <si>
    <t>G</t>
    <phoneticPr fontId="6"/>
  </si>
  <si>
    <t>ℓ</t>
    <phoneticPr fontId="6"/>
  </si>
  <si>
    <t>H</t>
    <phoneticPr fontId="6"/>
  </si>
  <si>
    <t>ℓ</t>
    <phoneticPr fontId="6"/>
  </si>
  <si>
    <t>I</t>
    <phoneticPr fontId="6"/>
  </si>
  <si>
    <t>J</t>
    <phoneticPr fontId="6"/>
  </si>
  <si>
    <t>小　計</t>
    <phoneticPr fontId="6"/>
  </si>
  <si>
    <t>K</t>
    <phoneticPr fontId="6"/>
  </si>
  <si>
    <t>トワイン</t>
    <phoneticPr fontId="6"/>
  </si>
  <si>
    <t>ラップフィルム</t>
    <phoneticPr fontId="6"/>
  </si>
  <si>
    <t>小　計</t>
    <phoneticPr fontId="6"/>
  </si>
  <si>
    <t>小　計</t>
    <phoneticPr fontId="6"/>
  </si>
  <si>
    <t>単価</t>
    <phoneticPr fontId="6"/>
  </si>
  <si>
    <t>B</t>
    <phoneticPr fontId="6"/>
  </si>
  <si>
    <t>C</t>
    <phoneticPr fontId="6"/>
  </si>
  <si>
    <t>小　計</t>
    <phoneticPr fontId="6"/>
  </si>
  <si>
    <t>D</t>
    <phoneticPr fontId="6"/>
  </si>
  <si>
    <t>㎏</t>
    <phoneticPr fontId="6"/>
  </si>
  <si>
    <t>金額</t>
    <phoneticPr fontId="6"/>
  </si>
  <si>
    <t>金額</t>
    <phoneticPr fontId="6"/>
  </si>
  <si>
    <t>㎏</t>
    <phoneticPr fontId="6"/>
  </si>
  <si>
    <t>肥育牛</t>
    <rPh sb="0" eb="2">
      <t>ヒイク</t>
    </rPh>
    <rPh sb="2" eb="3">
      <t>ウシ</t>
    </rPh>
    <phoneticPr fontId="6"/>
  </si>
  <si>
    <t>普通トラック</t>
    <phoneticPr fontId="6"/>
  </si>
  <si>
    <t>普通トラック</t>
    <phoneticPr fontId="6"/>
  </si>
  <si>
    <t>肥育牛舎（新規取得）</t>
    <rPh sb="0" eb="2">
      <t>ヒイク</t>
    </rPh>
    <rPh sb="2" eb="4">
      <t>ギュウシャ</t>
    </rPh>
    <rPh sb="5" eb="7">
      <t>シンキ</t>
    </rPh>
    <rPh sb="7" eb="9">
      <t>シュトク</t>
    </rPh>
    <phoneticPr fontId="6"/>
  </si>
  <si>
    <t>繁殖牛舎（新規取得）</t>
    <rPh sb="0" eb="2">
      <t>ハンショク</t>
    </rPh>
    <rPh sb="2" eb="4">
      <t>ギュウシャ</t>
    </rPh>
    <rPh sb="5" eb="7">
      <t>シンキ</t>
    </rPh>
    <rPh sb="7" eb="9">
      <t>シュトク</t>
    </rPh>
    <phoneticPr fontId="6"/>
  </si>
  <si>
    <t>木造，30頭規模，ﾌﾘｰﾊﾞｰﾝ</t>
    <rPh sb="0" eb="2">
      <t>モクゾウ</t>
    </rPh>
    <rPh sb="5" eb="6">
      <t>トウ</t>
    </rPh>
    <rPh sb="6" eb="8">
      <t>キボ</t>
    </rPh>
    <phoneticPr fontId="6"/>
  </si>
  <si>
    <t>2ｔ（中古）</t>
    <rPh sb="3" eb="5">
      <t>チュウコ</t>
    </rPh>
    <phoneticPr fontId="6"/>
  </si>
  <si>
    <t>ｽｷｯﾄﾞｽﾃｱﾛｰﾀﾞｰ</t>
    <phoneticPr fontId="6"/>
  </si>
  <si>
    <t>素畜費</t>
    <rPh sb="0" eb="1">
      <t>モト</t>
    </rPh>
    <rPh sb="1" eb="2">
      <t>チク</t>
    </rPh>
    <rPh sb="2" eb="3">
      <t>ヒ</t>
    </rPh>
    <phoneticPr fontId="6"/>
  </si>
  <si>
    <t>出荷諸経費</t>
    <rPh sb="0" eb="2">
      <t>シュッカ</t>
    </rPh>
    <rPh sb="2" eb="5">
      <t>ショケイヒ</t>
    </rPh>
    <phoneticPr fontId="6"/>
  </si>
  <si>
    <t>５　作業別・旬別作業時間（肉用牛繁殖牛30頭+肥育牛150頭）</t>
    <rPh sb="13" eb="15">
      <t>ニクヨウ</t>
    </rPh>
    <rPh sb="15" eb="16">
      <t>ウシ</t>
    </rPh>
    <rPh sb="16" eb="18">
      <t>ハンショク</t>
    </rPh>
    <rPh sb="18" eb="19">
      <t>ウシ</t>
    </rPh>
    <rPh sb="21" eb="22">
      <t>トウ</t>
    </rPh>
    <rPh sb="23" eb="25">
      <t>ヒイク</t>
    </rPh>
    <rPh sb="25" eb="26">
      <t>ウシ</t>
    </rPh>
    <rPh sb="29" eb="30">
      <t>トウ</t>
    </rPh>
    <phoneticPr fontId="6"/>
  </si>
  <si>
    <t>その他（清掃・手入等）</t>
    <rPh sb="2" eb="3">
      <t>タ</t>
    </rPh>
    <rPh sb="4" eb="6">
      <t>セイソウ</t>
    </rPh>
    <rPh sb="7" eb="9">
      <t>テイレ</t>
    </rPh>
    <rPh sb="9" eb="10">
      <t>トウ</t>
    </rPh>
    <phoneticPr fontId="6"/>
  </si>
  <si>
    <t>収集・運搬等（20.9ha）</t>
    <rPh sb="0" eb="2">
      <t>シュウシュウ</t>
    </rPh>
    <rPh sb="3" eb="5">
      <t>ウンパン</t>
    </rPh>
    <rPh sb="5" eb="6">
      <t>トウ</t>
    </rPh>
    <phoneticPr fontId="6"/>
  </si>
  <si>
    <t>堆肥散布（20.9ha）</t>
    <rPh sb="0" eb="2">
      <t>タイヒ</t>
    </rPh>
    <rPh sb="2" eb="4">
      <t>サンプ</t>
    </rPh>
    <phoneticPr fontId="6"/>
  </si>
  <si>
    <t>潤滑油（燃料費の30％）</t>
    <rPh sb="0" eb="3">
      <t>ジュンカツユ</t>
    </rPh>
    <rPh sb="4" eb="6">
      <t>ネンリョウ</t>
    </rPh>
    <rPh sb="6" eb="7">
      <t>ヒ</t>
    </rPh>
    <phoneticPr fontId="6"/>
  </si>
  <si>
    <t>10月上旬～10月下旬</t>
    <rPh sb="2" eb="3">
      <t>ガツ</t>
    </rPh>
    <rPh sb="3" eb="5">
      <t>ジョウジュン</t>
    </rPh>
    <rPh sb="8" eb="9">
      <t>ガツ</t>
    </rPh>
    <rPh sb="9" eb="11">
      <t>ゲジュン</t>
    </rPh>
    <phoneticPr fontId="6"/>
  </si>
  <si>
    <t>11月上旬〜11月中旬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6"/>
  </si>
  <si>
    <t>作業幅250㎝</t>
    <rPh sb="0" eb="2">
      <t>サギョウ</t>
    </rPh>
    <rPh sb="2" eb="3">
      <t>ハバ</t>
    </rPh>
    <phoneticPr fontId="6"/>
  </si>
  <si>
    <t>260㍑</t>
    <phoneticPr fontId="6"/>
  </si>
  <si>
    <t>20.9ha</t>
    <phoneticPr fontId="6"/>
  </si>
  <si>
    <t>作　業　別</t>
    <phoneticPr fontId="6"/>
  </si>
  <si>
    <t>ｲﾀﾘｱﾝﾗｲｸﾞﾗｽ</t>
    <phoneticPr fontId="6"/>
  </si>
  <si>
    <t>肥育牛</t>
    <phoneticPr fontId="6"/>
  </si>
  <si>
    <t>旬　別　計</t>
    <phoneticPr fontId="6"/>
  </si>
  <si>
    <t>月　  　計</t>
    <phoneticPr fontId="6"/>
  </si>
  <si>
    <t>作　業　別</t>
    <phoneticPr fontId="6"/>
  </si>
  <si>
    <t>旬　別　計　①</t>
    <phoneticPr fontId="6"/>
  </si>
  <si>
    <t>Ａ</t>
    <phoneticPr fontId="6"/>
  </si>
  <si>
    <t>Ｂ</t>
    <phoneticPr fontId="6"/>
  </si>
  <si>
    <t>C</t>
    <phoneticPr fontId="6"/>
  </si>
  <si>
    <t>過不足労働力　③=②-①</t>
    <phoneticPr fontId="6"/>
  </si>
  <si>
    <t>雇用労働力</t>
    <phoneticPr fontId="6"/>
  </si>
  <si>
    <t>肥育牛販売収入</t>
    <rPh sb="0" eb="2">
      <t>ヒイク</t>
    </rPh>
    <rPh sb="2" eb="3">
      <t>ウシ</t>
    </rPh>
    <rPh sb="3" eb="5">
      <t>ハンバイ</t>
    </rPh>
    <rPh sb="5" eb="7">
      <t>シュウニュウ</t>
    </rPh>
    <phoneticPr fontId="6"/>
  </si>
  <si>
    <t>堆肥販売収入</t>
    <rPh sb="0" eb="2">
      <t>タイヒ</t>
    </rPh>
    <rPh sb="2" eb="4">
      <t>ハンバイ</t>
    </rPh>
    <rPh sb="4" eb="6">
      <t>シュウニュウ</t>
    </rPh>
    <phoneticPr fontId="6"/>
  </si>
  <si>
    <t>畜産経営診断(先進)全国集計（繁殖20～30頭）@6610，（肥育100～200頭）＠5184</t>
    <rPh sb="0" eb="2">
      <t>チクサン</t>
    </rPh>
    <rPh sb="2" eb="4">
      <t>ケイエイ</t>
    </rPh>
    <rPh sb="4" eb="6">
      <t>シンダン</t>
    </rPh>
    <rPh sb="7" eb="9">
      <t>センシン</t>
    </rPh>
    <rPh sb="10" eb="12">
      <t>ゼンコク</t>
    </rPh>
    <rPh sb="12" eb="14">
      <t>シュウケイ</t>
    </rPh>
    <rPh sb="15" eb="17">
      <t>ハンショク</t>
    </rPh>
    <rPh sb="22" eb="23">
      <t>トウ</t>
    </rPh>
    <rPh sb="31" eb="33">
      <t>ヒイク</t>
    </rPh>
    <rPh sb="40" eb="41">
      <t>トウ</t>
    </rPh>
    <phoneticPr fontId="6"/>
  </si>
  <si>
    <t>畜産経営診断(先進)全国集計（繁殖20～30頭）@13427，（肥育100～200頭）＠4463</t>
    <rPh sb="0" eb="2">
      <t>チクサン</t>
    </rPh>
    <rPh sb="2" eb="4">
      <t>ケイエイ</t>
    </rPh>
    <rPh sb="4" eb="6">
      <t>シンダン</t>
    </rPh>
    <rPh sb="7" eb="9">
      <t>センシン</t>
    </rPh>
    <rPh sb="10" eb="12">
      <t>ゼンコク</t>
    </rPh>
    <rPh sb="12" eb="14">
      <t>シュウケイ</t>
    </rPh>
    <rPh sb="15" eb="17">
      <t>ハンショク</t>
    </rPh>
    <rPh sb="22" eb="23">
      <t>トウ</t>
    </rPh>
    <rPh sb="32" eb="34">
      <t>ヒイク</t>
    </rPh>
    <rPh sb="41" eb="42">
      <t>トウ</t>
    </rPh>
    <phoneticPr fontId="6"/>
  </si>
  <si>
    <t>畜産経営診断(先進)全国集計（繁殖20～30頭）@8613，（肥育100～200頭）＠3541</t>
    <rPh sb="0" eb="2">
      <t>チクサン</t>
    </rPh>
    <rPh sb="2" eb="4">
      <t>ケイエイ</t>
    </rPh>
    <rPh sb="4" eb="6">
      <t>シンダン</t>
    </rPh>
    <rPh sb="7" eb="9">
      <t>センシン</t>
    </rPh>
    <rPh sb="10" eb="12">
      <t>ゼンコク</t>
    </rPh>
    <rPh sb="12" eb="14">
      <t>シュウケイ</t>
    </rPh>
    <rPh sb="15" eb="17">
      <t>ハンショク</t>
    </rPh>
    <rPh sb="22" eb="23">
      <t>トウ</t>
    </rPh>
    <rPh sb="31" eb="33">
      <t>ヒイク</t>
    </rPh>
    <rPh sb="40" eb="41">
      <t>トウ</t>
    </rPh>
    <phoneticPr fontId="6"/>
  </si>
  <si>
    <t>畜産経営診断(先進)全国集計（繁殖20～30頭）@2851，（肥育100～200頭）＠538</t>
    <rPh sb="0" eb="2">
      <t>チクサン</t>
    </rPh>
    <rPh sb="2" eb="4">
      <t>ケイエイ</t>
    </rPh>
    <rPh sb="4" eb="6">
      <t>シンダン</t>
    </rPh>
    <rPh sb="7" eb="9">
      <t>センシン</t>
    </rPh>
    <rPh sb="10" eb="12">
      <t>ゼンコク</t>
    </rPh>
    <rPh sb="12" eb="14">
      <t>シュウケイ</t>
    </rPh>
    <rPh sb="15" eb="17">
      <t>ハンショク</t>
    </rPh>
    <rPh sb="22" eb="23">
      <t>トウ</t>
    </rPh>
    <rPh sb="31" eb="33">
      <t>ヒイク</t>
    </rPh>
    <rPh sb="40" eb="41">
      <t>トウ</t>
    </rPh>
    <phoneticPr fontId="6"/>
  </si>
  <si>
    <t>畜産経営診断(先進)全国集計（繁殖20～30頭）@6805，（肥育100～200頭）＠4347</t>
    <rPh sb="0" eb="2">
      <t>チクサン</t>
    </rPh>
    <rPh sb="2" eb="4">
      <t>ケイエイ</t>
    </rPh>
    <rPh sb="4" eb="6">
      <t>シンダン</t>
    </rPh>
    <rPh sb="7" eb="9">
      <t>センシン</t>
    </rPh>
    <rPh sb="10" eb="12">
      <t>ゼンコク</t>
    </rPh>
    <rPh sb="12" eb="14">
      <t>シュウケイ</t>
    </rPh>
    <rPh sb="15" eb="17">
      <t>ハンショク</t>
    </rPh>
    <rPh sb="22" eb="23">
      <t>トウ</t>
    </rPh>
    <rPh sb="31" eb="33">
      <t>ヒイク</t>
    </rPh>
    <rPh sb="40" eb="41">
      <t>トウ</t>
    </rPh>
    <phoneticPr fontId="6"/>
  </si>
  <si>
    <t>受取共済金</t>
    <rPh sb="0" eb="2">
      <t>ウケトリ</t>
    </rPh>
    <rPh sb="2" eb="5">
      <t>キョウサイキン</t>
    </rPh>
    <phoneticPr fontId="6"/>
  </si>
  <si>
    <t>木造，ｺﾝｸﾘｰﾄ床</t>
    <rPh sb="0" eb="2">
      <t>モクゾウ</t>
    </rPh>
    <rPh sb="9" eb="10">
      <t>ユカ</t>
    </rPh>
    <phoneticPr fontId="6"/>
  </si>
  <si>
    <t>木造，150頭規模，ﾌﾘｰﾊﾞｰﾝ</t>
    <rPh sb="0" eb="2">
      <t>モクゾウ</t>
    </rPh>
    <rPh sb="6" eb="7">
      <t>トウ</t>
    </rPh>
    <rPh sb="7" eb="9">
      <t>キボ</t>
    </rPh>
    <phoneticPr fontId="6"/>
  </si>
  <si>
    <t>支払消費税, 　　固定資産税・自動車税等</t>
    <rPh sb="0" eb="2">
      <t>シハライ</t>
    </rPh>
    <rPh sb="2" eb="5">
      <t>ショウヒゼイ</t>
    </rPh>
    <rPh sb="9" eb="11">
      <t>コテイ</t>
    </rPh>
    <rPh sb="11" eb="14">
      <t>シサンゼイ</t>
    </rPh>
    <rPh sb="15" eb="18">
      <t>ジドウシャ</t>
    </rPh>
    <rPh sb="18" eb="19">
      <t>ゼイ</t>
    </rPh>
    <rPh sb="19" eb="20">
      <t>トウ</t>
    </rPh>
    <phoneticPr fontId="6"/>
  </si>
  <si>
    <t>パイプハウス</t>
    <phoneticPr fontId="6"/>
  </si>
  <si>
    <t>繁殖部門91,200円（流死産含む子牛事故率3％）　肥育部門367,800円（事故率2％）</t>
    <rPh sb="0" eb="2">
      <t>ハンショク</t>
    </rPh>
    <rPh sb="2" eb="4">
      <t>ブモン</t>
    </rPh>
    <rPh sb="10" eb="11">
      <t>エン</t>
    </rPh>
    <rPh sb="12" eb="13">
      <t>リュウ</t>
    </rPh>
    <rPh sb="13" eb="15">
      <t>シザン</t>
    </rPh>
    <rPh sb="15" eb="16">
      <t>フク</t>
    </rPh>
    <rPh sb="17" eb="19">
      <t>コウシ</t>
    </rPh>
    <rPh sb="19" eb="21">
      <t>ジコ</t>
    </rPh>
    <rPh sb="21" eb="22">
      <t>リツ</t>
    </rPh>
    <rPh sb="26" eb="28">
      <t>ヒイク</t>
    </rPh>
    <rPh sb="28" eb="30">
      <t>ブモン</t>
    </rPh>
    <rPh sb="37" eb="38">
      <t>エン</t>
    </rPh>
    <rPh sb="39" eb="41">
      <t>ジコ</t>
    </rPh>
    <rPh sb="41" eb="42">
      <t>リツ</t>
    </rPh>
    <phoneticPr fontId="6"/>
  </si>
  <si>
    <t>3,000円/10a</t>
    <rPh sb="5" eb="6">
      <t>エン</t>
    </rPh>
    <phoneticPr fontId="6"/>
  </si>
  <si>
    <t>価格補てん金</t>
    <rPh sb="0" eb="2">
      <t>カカク</t>
    </rPh>
    <rPh sb="2" eb="3">
      <t>ホ</t>
    </rPh>
    <rPh sb="5" eb="6">
      <t>キン</t>
    </rPh>
    <phoneticPr fontId="6"/>
  </si>
  <si>
    <t>建物等</t>
    <rPh sb="0" eb="2">
      <t>タテモノ</t>
    </rPh>
    <rPh sb="2" eb="3">
      <t>トウ</t>
    </rPh>
    <phoneticPr fontId="6"/>
  </si>
  <si>
    <t>自給飼料費</t>
  </si>
  <si>
    <t>経費から差し引く育成費用</t>
    <phoneticPr fontId="6"/>
  </si>
  <si>
    <t>3,000円×12か月</t>
    <rPh sb="5" eb="6">
      <t>エン</t>
    </rPh>
    <rPh sb="10" eb="11">
      <t>ゲツ</t>
    </rPh>
    <phoneticPr fontId="6"/>
  </si>
  <si>
    <t>バケット0.2㎥（中古）</t>
    <rPh sb="9" eb="11">
      <t>チュウコ</t>
    </rPh>
    <phoneticPr fontId="6"/>
  </si>
  <si>
    <t>税込販売価格の0.4%</t>
    <rPh sb="0" eb="2">
      <t>ゼイコミ</t>
    </rPh>
    <rPh sb="2" eb="4">
      <t>ハンバイ</t>
    </rPh>
    <rPh sb="4" eb="6">
      <t>カカク</t>
    </rPh>
    <phoneticPr fontId="6"/>
  </si>
  <si>
    <t>平均受精回数1.6回，精液＠2000，技術料（初回8000+２回目以降4800）</t>
    <phoneticPr fontId="6"/>
  </si>
  <si>
    <t>畜産経営診断(先進)全国集計（繁殖20～30頭）@1103，（肥育100～200頭）＠2859</t>
    <rPh sb="0" eb="2">
      <t>チクサン</t>
    </rPh>
    <rPh sb="2" eb="4">
      <t>ケイエイ</t>
    </rPh>
    <rPh sb="4" eb="6">
      <t>シンダン</t>
    </rPh>
    <rPh sb="7" eb="9">
      <t>センシン</t>
    </rPh>
    <rPh sb="10" eb="12">
      <t>ゼンコク</t>
    </rPh>
    <rPh sb="12" eb="14">
      <t>シュウケイ</t>
    </rPh>
    <rPh sb="15" eb="17">
      <t>ハンショク</t>
    </rPh>
    <rPh sb="22" eb="23">
      <t>トウ</t>
    </rPh>
    <rPh sb="31" eb="33">
      <t>ヒイク</t>
    </rPh>
    <rPh sb="40" eb="41">
      <t>トウ</t>
    </rPh>
    <phoneticPr fontId="6"/>
  </si>
  <si>
    <t>20.7ha</t>
    <phoneticPr fontId="5"/>
  </si>
  <si>
    <t>堆肥貯蔵施設</t>
    <rPh sb="0" eb="2">
      <t>タイヒ</t>
    </rPh>
    <rPh sb="2" eb="4">
      <t>チョゾウ</t>
    </rPh>
    <rPh sb="4" eb="6">
      <t>シセツ</t>
    </rPh>
    <phoneticPr fontId="6"/>
  </si>
  <si>
    <t>〇</t>
    <phoneticPr fontId="6"/>
  </si>
  <si>
    <t>繁殖牛30頭，育成牛6頭，肥育牛150頭（去勢100頭，めす50頭）</t>
    <rPh sb="0" eb="2">
      <t>ハンショク</t>
    </rPh>
    <rPh sb="2" eb="3">
      <t>ウシ</t>
    </rPh>
    <rPh sb="5" eb="6">
      <t>トウ</t>
    </rPh>
    <rPh sb="7" eb="9">
      <t>イクセイ</t>
    </rPh>
    <rPh sb="9" eb="10">
      <t>ウシ</t>
    </rPh>
    <rPh sb="11" eb="12">
      <t>トウ</t>
    </rPh>
    <rPh sb="13" eb="15">
      <t>ヒイク</t>
    </rPh>
    <rPh sb="15" eb="16">
      <t>ギュウ</t>
    </rPh>
    <rPh sb="19" eb="20">
      <t>トウ</t>
    </rPh>
    <rPh sb="21" eb="23">
      <t>キョセイ</t>
    </rPh>
    <rPh sb="26" eb="27">
      <t>トウ</t>
    </rPh>
    <rPh sb="32" eb="33">
      <t>トウ</t>
    </rPh>
    <phoneticPr fontId="5"/>
  </si>
  <si>
    <t>去勢牛　　　　　　　　　　　　　　　　　　　　　　　　　　　　　　　　　　　　　　　　　　　　　　　　　　　　　　　　　　　　　　　素牛導入月齢：8ケ月齢，出荷月齢：26ケ月齢，素牛体重280㎏，出荷体重760㎏，
枝肉重量480㎏，DG0.88kg/日，上物率76%，事故率2%　　　　　　　　　　　　　　　　　　　　　　　　　　　　　　　　　　　　　　　　　　　　　　雌牛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素牛導入月齢：8.5ケ月齢，出荷月齢：26.5ケ月齢，素牛体重265㎏，出荷体重675㎏，
枝肉重量425㎏，DG0.75kg/日，上物率76%，事故率2%　　　　　　　　　　　　　　　　　　　　　　　　　　　　　　　　　　　　　　　　　　　　　　　　　　　　</t>
    <rPh sb="0" eb="2">
      <t>キョセイ</t>
    </rPh>
    <rPh sb="2" eb="3">
      <t>ウシ</t>
    </rPh>
    <rPh sb="66" eb="68">
      <t>モトウシ</t>
    </rPh>
    <rPh sb="68" eb="70">
      <t>ドウニュウ</t>
    </rPh>
    <rPh sb="70" eb="72">
      <t>ゲツレイ</t>
    </rPh>
    <rPh sb="75" eb="77">
      <t>ゲツレイ</t>
    </rPh>
    <rPh sb="78" eb="80">
      <t>シュッカ</t>
    </rPh>
    <rPh sb="80" eb="82">
      <t>ゲツレイ</t>
    </rPh>
    <rPh sb="89" eb="91">
      <t>モトウシ</t>
    </rPh>
    <rPh sb="91" eb="93">
      <t>タイジュウ</t>
    </rPh>
    <rPh sb="98" eb="100">
      <t>シュッカ</t>
    </rPh>
    <rPh sb="100" eb="102">
      <t>タイジュウ</t>
    </rPh>
    <rPh sb="108" eb="110">
      <t>エダニク</t>
    </rPh>
    <rPh sb="110" eb="112">
      <t>ジュウリョウ</t>
    </rPh>
    <rPh sb="126" eb="127">
      <t>ニチ</t>
    </rPh>
    <rPh sb="128" eb="130">
      <t>ジョウモノ</t>
    </rPh>
    <rPh sb="130" eb="131">
      <t>リツ</t>
    </rPh>
    <rPh sb="135" eb="137">
      <t>ジコ</t>
    </rPh>
    <rPh sb="137" eb="138">
      <t>リツ</t>
    </rPh>
    <rPh sb="186" eb="187">
      <t>メス</t>
    </rPh>
    <rPh sb="187" eb="188">
      <t>ウシ</t>
    </rPh>
    <phoneticPr fontId="6"/>
  </si>
  <si>
    <r>
      <t>ｲﾀﾘｱﾝﾗｲｸﾞﾗｽ</t>
    </r>
    <r>
      <rPr>
        <sz val="8"/>
        <color indexed="8"/>
        <rFont val="ＭＳ Ｐゴシック"/>
        <family val="3"/>
        <charset val="128"/>
      </rPr>
      <t>（ｻｲﾚｰｼﾞ利用）</t>
    </r>
    <rPh sb="18" eb="19">
      <t>）</t>
    </rPh>
    <rPh sb="19" eb="20">
      <t>リヨウ</t>
    </rPh>
    <phoneticPr fontId="5"/>
  </si>
  <si>
    <t>去勢：902,314円/頭，雌：791,453円/頭，出荷頭数割合　去勢：雌=2：１，年間出荷頭数97頭（事故牛3頭）</t>
    <rPh sb="0" eb="2">
      <t>キョセイ</t>
    </rPh>
    <rPh sb="10" eb="11">
      <t>エン</t>
    </rPh>
    <rPh sb="12" eb="13">
      <t>トウ</t>
    </rPh>
    <rPh sb="14" eb="15">
      <t>メス</t>
    </rPh>
    <rPh sb="23" eb="24">
      <t>エン</t>
    </rPh>
    <rPh sb="25" eb="26">
      <t>トウ</t>
    </rPh>
    <rPh sb="27" eb="29">
      <t>シュッカ</t>
    </rPh>
    <rPh sb="29" eb="31">
      <t>トウスウ</t>
    </rPh>
    <rPh sb="31" eb="33">
      <t>ワリアイ</t>
    </rPh>
    <rPh sb="34" eb="36">
      <t>キョセイ</t>
    </rPh>
    <rPh sb="37" eb="38">
      <t>メス</t>
    </rPh>
    <rPh sb="43" eb="45">
      <t>ネンカン</t>
    </rPh>
    <rPh sb="45" eb="47">
      <t>シュッカ</t>
    </rPh>
    <rPh sb="47" eb="49">
      <t>トウスウ</t>
    </rPh>
    <rPh sb="51" eb="52">
      <t>トウ</t>
    </rPh>
    <rPh sb="53" eb="55">
      <t>ジコ</t>
    </rPh>
    <rPh sb="55" eb="56">
      <t>ウシ</t>
    </rPh>
    <rPh sb="57" eb="58">
      <t>トウ</t>
    </rPh>
    <phoneticPr fontId="6"/>
  </si>
  <si>
    <t>販売堆肥638ｔ　＠1500円</t>
    <rPh sb="0" eb="1">
      <t>ハンバイ</t>
    </rPh>
    <rPh sb="1" eb="3">
      <t>タイヒ</t>
    </rPh>
    <rPh sb="3" eb="4">
      <t>リョウ</t>
    </rPh>
    <rPh sb="13" eb="14">
      <t>エン</t>
    </rPh>
    <phoneticPr fontId="6"/>
  </si>
  <si>
    <t>補助金</t>
    <rPh sb="0" eb="3">
      <t>ホジョキン</t>
    </rPh>
    <phoneticPr fontId="6"/>
  </si>
  <si>
    <r>
      <rPr>
        <sz val="10"/>
        <rFont val="ＭＳ Ｐゴシック"/>
        <family val="3"/>
        <charset val="128"/>
      </rPr>
      <t>肉用牛肥育経営安定特別対策事業補てん金</t>
    </r>
    <r>
      <rPr>
        <sz val="11"/>
        <rFont val="ＭＳ Ｐゴシック"/>
        <family val="3"/>
        <charset val="128"/>
      </rPr>
      <t>　36,112円×97頭</t>
    </r>
    <rPh sb="26" eb="27">
      <t>エン</t>
    </rPh>
    <rPh sb="30" eb="31">
      <t>トウ</t>
    </rPh>
    <phoneticPr fontId="6"/>
  </si>
  <si>
    <t>480,116円×74頭</t>
    <rPh sb="6" eb="7">
      <t>エン</t>
    </rPh>
    <rPh sb="10" eb="11">
      <t>トウ</t>
    </rPh>
    <phoneticPr fontId="6"/>
  </si>
  <si>
    <t>（15000円×12ヶ月）×（30頭/10年）×（23.5ヶ月/12ヶ月）</t>
    <rPh sb="6" eb="7">
      <t>エン</t>
    </rPh>
    <rPh sb="11" eb="12">
      <t>ゲツ</t>
    </rPh>
    <rPh sb="17" eb="18">
      <t>トウ</t>
    </rPh>
    <rPh sb="21" eb="22">
      <t>ネン</t>
    </rPh>
    <rPh sb="30" eb="31">
      <t>ゲツ</t>
    </rPh>
    <rPh sb="35" eb="36">
      <t>ゲツ</t>
    </rPh>
    <phoneticPr fontId="6"/>
  </si>
  <si>
    <t>6,158円×97頭</t>
    <rPh sb="4" eb="5">
      <t>エン</t>
    </rPh>
    <rPh sb="8" eb="9">
      <t>トウ</t>
    </rPh>
    <phoneticPr fontId="6"/>
  </si>
  <si>
    <r>
      <t>218,118円×3頭</t>
    </r>
    <r>
      <rPr>
        <sz val="9"/>
        <rFont val="ＭＳ Ｐゴシック"/>
        <family val="3"/>
        <charset val="128"/>
      </rPr>
      <t>（H25年三次家畜市場平均価格（11才・8％税込換算））</t>
    </r>
    <rPh sb="6" eb="7">
      <t>エン</t>
    </rPh>
    <rPh sb="9" eb="10">
      <t>トウ</t>
    </rPh>
    <phoneticPr fontId="6"/>
  </si>
  <si>
    <t>5,000円×174頭（肥育牛97頭+廃用牛3頭+素牛74頭）</t>
    <rPh sb="4" eb="5">
      <t>エン</t>
    </rPh>
    <rPh sb="11" eb="13">
      <t>ヒイク</t>
    </rPh>
    <rPh sb="13" eb="14">
      <t>ギュウ</t>
    </rPh>
    <rPh sb="25" eb="27">
      <t>モトウシ</t>
    </rPh>
    <rPh sb="29" eb="30">
      <t>トウ</t>
    </rPh>
    <phoneticPr fontId="6"/>
  </si>
  <si>
    <t>⑤=③×④（円）</t>
    <phoneticPr fontId="6"/>
  </si>
  <si>
    <t>⑦＝⑤×⑥（円）</t>
    <rPh sb="6" eb="7">
      <t>エン</t>
    </rPh>
    <phoneticPr fontId="6"/>
  </si>
  <si>
    <t>⑨＝（⑤－⑦）÷⑧（円）</t>
    <phoneticPr fontId="6"/>
  </si>
  <si>
    <t>（子牛・老廃・堆肥販売収入）×100/108×2.4%</t>
    <rPh sb="1" eb="3">
      <t>コウシ</t>
    </rPh>
    <rPh sb="4" eb="6">
      <t>ロウハイ</t>
    </rPh>
    <rPh sb="7" eb="9">
      <t>タイヒ</t>
    </rPh>
    <rPh sb="9" eb="11">
      <t>ハンバイ</t>
    </rPh>
    <rPh sb="11" eb="13">
      <t>シュウニュウ</t>
    </rPh>
    <phoneticPr fontId="6"/>
  </si>
  <si>
    <t>（子牛・老廃販売収入）×（市場手数料4％+ＪＡ手数料0.5%）</t>
    <rPh sb="1" eb="3">
      <t>コウシ</t>
    </rPh>
    <rPh sb="4" eb="6">
      <t>ロウハイ</t>
    </rPh>
    <rPh sb="6" eb="8">
      <t>ハンバイ</t>
    </rPh>
    <rPh sb="8" eb="10">
      <t>シュウニュウ</t>
    </rPh>
    <phoneticPr fontId="6"/>
  </si>
  <si>
    <t>ｲﾀﾘｱﾝﾗｲｸﾞﾗｽ+飼料用ﾋｴ（放牧利用）</t>
    <rPh sb="12" eb="14">
      <t>シリョウ</t>
    </rPh>
    <rPh sb="14" eb="15">
      <t>ヨウ</t>
    </rPh>
    <rPh sb="18" eb="20">
      <t>ホウボク</t>
    </rPh>
    <rPh sb="20" eb="22">
      <t>リヨウ</t>
    </rPh>
    <phoneticPr fontId="5"/>
  </si>
  <si>
    <t>〇</t>
  </si>
  <si>
    <t>経営所得安定対策交付金：「飼料作物」35,000円/10a×7.5ha+「放牧加算」13,000円/10a×4.5ha</t>
    <rPh sb="0" eb="1">
      <t>ケイエイ</t>
    </rPh>
    <rPh sb="1" eb="3">
      <t>ショトク</t>
    </rPh>
    <rPh sb="3" eb="5">
      <t>アンテイ</t>
    </rPh>
    <rPh sb="5" eb="7">
      <t>タイサク</t>
    </rPh>
    <rPh sb="7" eb="10">
      <t>コウフキン</t>
    </rPh>
    <rPh sb="12" eb="14">
      <t>シリョウ</t>
    </rPh>
    <rPh sb="14" eb="16">
      <t>サクモツ</t>
    </rPh>
    <rPh sb="23" eb="24">
      <t>エン</t>
    </rPh>
    <rPh sb="37" eb="39">
      <t>ホウボク</t>
    </rPh>
    <rPh sb="39" eb="41">
      <t>カサン</t>
    </rPh>
    <phoneticPr fontId="6"/>
  </si>
  <si>
    <t>30ps</t>
    <phoneticPr fontId="6"/>
  </si>
  <si>
    <t>繁殖牛は放牧利用</t>
    <rPh sb="0" eb="2">
      <t>ハンショク</t>
    </rPh>
    <rPh sb="2" eb="3">
      <t>ウシ</t>
    </rPh>
    <rPh sb="4" eb="6">
      <t>ホウボク</t>
    </rPh>
    <rPh sb="6" eb="8">
      <t>リヨウ</t>
    </rPh>
    <phoneticPr fontId="6"/>
  </si>
  <si>
    <t>３－１　標準技術（採草）</t>
    <rPh sb="4" eb="6">
      <t>ヒョウジュン</t>
    </rPh>
    <rPh sb="6" eb="8">
      <t>ギジュツ</t>
    </rPh>
    <rPh sb="9" eb="11">
      <t>サイソウ</t>
    </rPh>
    <phoneticPr fontId="6"/>
  </si>
  <si>
    <t>堆肥を全面に均一散布</t>
    <rPh sb="0" eb="2">
      <t>タイヒ</t>
    </rPh>
    <rPh sb="3" eb="5">
      <t>ゼンメン</t>
    </rPh>
    <rPh sb="6" eb="8">
      <t>キンイツ</t>
    </rPh>
    <rPh sb="8" eb="10">
      <t>サンプ</t>
    </rPh>
    <phoneticPr fontId="6"/>
  </si>
  <si>
    <t>石灰質資材を全面に均一散布</t>
    <rPh sb="0" eb="3">
      <t>セッカイシツ</t>
    </rPh>
    <rPh sb="3" eb="5">
      <t>シザイ</t>
    </rPh>
    <rPh sb="6" eb="8">
      <t>ゼンメン</t>
    </rPh>
    <rPh sb="9" eb="11">
      <t>キンイツ</t>
    </rPh>
    <rPh sb="11" eb="13">
      <t>サンプ</t>
    </rPh>
    <phoneticPr fontId="6"/>
  </si>
  <si>
    <t>丁寧な採土・均平作業</t>
    <rPh sb="0" eb="2">
      <t>テイネイ</t>
    </rPh>
    <rPh sb="3" eb="5">
      <t>サイド</t>
    </rPh>
    <rPh sb="6" eb="8">
      <t>キンベイ</t>
    </rPh>
    <rPh sb="8" eb="10">
      <t>サギョウ</t>
    </rPh>
    <phoneticPr fontId="6"/>
  </si>
  <si>
    <t>県奨励品種使用・均一散布後鎮圧</t>
    <rPh sb="0" eb="1">
      <t>ケン</t>
    </rPh>
    <rPh sb="1" eb="3">
      <t>ショウレイ</t>
    </rPh>
    <rPh sb="3" eb="5">
      <t>ヒンシュ</t>
    </rPh>
    <rPh sb="5" eb="7">
      <t>シヨウ</t>
    </rPh>
    <rPh sb="8" eb="10">
      <t>キンイツ</t>
    </rPh>
    <rPh sb="10" eb="12">
      <t>サンプ</t>
    </rPh>
    <rPh sb="12" eb="13">
      <t>ゴ</t>
    </rPh>
    <rPh sb="13" eb="15">
      <t>チンアツ</t>
    </rPh>
    <phoneticPr fontId="6"/>
  </si>
  <si>
    <t>必要に応じて額縁明渠等設置</t>
    <rPh sb="0" eb="2">
      <t>ヒツヨウ</t>
    </rPh>
    <rPh sb="3" eb="4">
      <t>オウ</t>
    </rPh>
    <rPh sb="6" eb="8">
      <t>ガクブチ</t>
    </rPh>
    <rPh sb="8" eb="10">
      <t>メイキョ</t>
    </rPh>
    <rPh sb="10" eb="11">
      <t>トウ</t>
    </rPh>
    <rPh sb="11" eb="13">
      <t>セッチ</t>
    </rPh>
    <phoneticPr fontId="6"/>
  </si>
  <si>
    <t>早春に実施</t>
    <rPh sb="0" eb="2">
      <t>ソウシュン</t>
    </rPh>
    <rPh sb="3" eb="5">
      <t>ジッシ</t>
    </rPh>
    <phoneticPr fontId="6"/>
  </si>
  <si>
    <t>適期（出穂期）に刈取・水分50～60％に予乾</t>
    <rPh sb="0" eb="2">
      <t>テキキ</t>
    </rPh>
    <rPh sb="3" eb="4">
      <t>デ</t>
    </rPh>
    <rPh sb="4" eb="5">
      <t>ホ</t>
    </rPh>
    <rPh sb="5" eb="6">
      <t>キ</t>
    </rPh>
    <rPh sb="8" eb="9">
      <t>カ</t>
    </rPh>
    <rPh sb="9" eb="10">
      <t>ト</t>
    </rPh>
    <rPh sb="11" eb="13">
      <t>スイブン</t>
    </rPh>
    <rPh sb="20" eb="21">
      <t>ヨ</t>
    </rPh>
    <rPh sb="21" eb="22">
      <t>イヌイ</t>
    </rPh>
    <phoneticPr fontId="6"/>
  </si>
  <si>
    <t>高密度に梱包</t>
    <rPh sb="0" eb="3">
      <t>コウミツド</t>
    </rPh>
    <rPh sb="4" eb="6">
      <t>コンポウ</t>
    </rPh>
    <phoneticPr fontId="6"/>
  </si>
  <si>
    <t>６層被覆が基本</t>
    <rPh sb="1" eb="2">
      <t>ソウ</t>
    </rPh>
    <rPh sb="2" eb="4">
      <t>ヒフク</t>
    </rPh>
    <rPh sb="5" eb="7">
      <t>キホン</t>
    </rPh>
    <phoneticPr fontId="6"/>
  </si>
  <si>
    <t>化成肥料　　　　　　　　　　　　　（ｵｰﾙ16）40㎏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種子３㎏</t>
    <rPh sb="122" eb="124">
      <t>シュシ</t>
    </rPh>
    <phoneticPr fontId="6"/>
  </si>
  <si>
    <t>適期播種</t>
    <rPh sb="0" eb="2">
      <t>テキキ</t>
    </rPh>
    <rPh sb="2" eb="4">
      <t>ハシュ</t>
    </rPh>
    <phoneticPr fontId="6"/>
  </si>
  <si>
    <t>適期刈取と，予乾による適切な水分調整</t>
    <rPh sb="0" eb="2">
      <t>テキキ</t>
    </rPh>
    <rPh sb="2" eb="4">
      <t>カリトリ</t>
    </rPh>
    <rPh sb="6" eb="7">
      <t>ヨ</t>
    </rPh>
    <rPh sb="7" eb="8">
      <t>イヌイ</t>
    </rPh>
    <rPh sb="11" eb="13">
      <t>テキセツ</t>
    </rPh>
    <rPh sb="14" eb="16">
      <t>スイブン</t>
    </rPh>
    <rPh sb="16" eb="18">
      <t>チョウセイ</t>
    </rPh>
    <phoneticPr fontId="6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</si>
  <si>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6"/>
  </si>
  <si>
    <t>梱包後，半日以内に密封する</t>
    <rPh sb="0" eb="2">
      <t>コンポウ</t>
    </rPh>
    <rPh sb="2" eb="3">
      <t>ゴ</t>
    </rPh>
    <rPh sb="4" eb="6">
      <t>ハンニチ</t>
    </rPh>
    <rPh sb="6" eb="8">
      <t>イナイ</t>
    </rPh>
    <rPh sb="9" eb="11">
      <t>ミップウ</t>
    </rPh>
    <phoneticPr fontId="6"/>
  </si>
  <si>
    <t>電気柵設置・飲み水確保等</t>
    <rPh sb="0" eb="2">
      <t>デンキ</t>
    </rPh>
    <rPh sb="2" eb="3">
      <t>サク</t>
    </rPh>
    <rPh sb="3" eb="5">
      <t>セッチ</t>
    </rPh>
    <rPh sb="6" eb="9">
      <t>ノミミズ</t>
    </rPh>
    <rPh sb="9" eb="11">
      <t>カクホ</t>
    </rPh>
    <rPh sb="11" eb="12">
      <t>トウ</t>
    </rPh>
    <phoneticPr fontId="6"/>
  </si>
  <si>
    <t>均一に播種</t>
    <rPh sb="0" eb="2">
      <t>キンイツ</t>
    </rPh>
    <rPh sb="3" eb="5">
      <t>ハシュ</t>
    </rPh>
    <phoneticPr fontId="6"/>
  </si>
  <si>
    <t>残草の状況により随時転牧</t>
    <rPh sb="0" eb="1">
      <t>ザン</t>
    </rPh>
    <rPh sb="1" eb="2">
      <t>クサ</t>
    </rPh>
    <rPh sb="3" eb="5">
      <t>ジョウキョウ</t>
    </rPh>
    <rPh sb="8" eb="10">
      <t>ズイジ</t>
    </rPh>
    <rPh sb="10" eb="11">
      <t>テン</t>
    </rPh>
    <rPh sb="11" eb="12">
      <t>ボク</t>
    </rPh>
    <phoneticPr fontId="6"/>
  </si>
  <si>
    <t>適切なタイミングで転牧実施</t>
    <rPh sb="0" eb="2">
      <t>テキセツ</t>
    </rPh>
    <rPh sb="9" eb="10">
      <t>テン</t>
    </rPh>
    <rPh sb="10" eb="11">
      <t>ボク</t>
    </rPh>
    <rPh sb="11" eb="13">
      <t>ジッシ</t>
    </rPh>
    <phoneticPr fontId="6"/>
  </si>
  <si>
    <t>播種後，鎮圧代わりに牛に踏ませる</t>
    <rPh sb="0" eb="2">
      <t>ハシュ</t>
    </rPh>
    <rPh sb="2" eb="3">
      <t>ゴ</t>
    </rPh>
    <rPh sb="4" eb="6">
      <t>チンアツ</t>
    </rPh>
    <rPh sb="6" eb="7">
      <t>カ</t>
    </rPh>
    <rPh sb="10" eb="11">
      <t>ウシ</t>
    </rPh>
    <rPh sb="12" eb="13">
      <t>フ</t>
    </rPh>
    <phoneticPr fontId="6"/>
  </si>
  <si>
    <t>化成肥料　　　　　　　　　　　　　（ｵｰﾙ16）40㎏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種子３㎏</t>
    <rPh sb="129" eb="131">
      <t>シュシ</t>
    </rPh>
    <phoneticPr fontId="6"/>
  </si>
  <si>
    <t>３－２　標準技術（放牧）</t>
    <rPh sb="4" eb="6">
      <t>ヒョウジュン</t>
    </rPh>
    <rPh sb="6" eb="8">
      <t>ギジュツ</t>
    </rPh>
    <rPh sb="9" eb="11">
      <t>ホウボク</t>
    </rPh>
    <phoneticPr fontId="6"/>
  </si>
  <si>
    <t>３－３　標準技術（稲ワラ収集）</t>
    <rPh sb="4" eb="6">
      <t>ヒョウジュン</t>
    </rPh>
    <rPh sb="6" eb="8">
      <t>ギジュツ</t>
    </rPh>
    <rPh sb="9" eb="10">
      <t>イネ</t>
    </rPh>
    <rPh sb="12" eb="14">
      <t>シュウシュウ</t>
    </rPh>
    <phoneticPr fontId="6"/>
  </si>
  <si>
    <t>的確な反転・集草作業実施</t>
    <rPh sb="0" eb="2">
      <t>テキカク</t>
    </rPh>
    <rPh sb="3" eb="5">
      <t>ハンテン</t>
    </rPh>
    <rPh sb="6" eb="7">
      <t>シュウ</t>
    </rPh>
    <rPh sb="7" eb="8">
      <t>クサ</t>
    </rPh>
    <rPh sb="8" eb="10">
      <t>サギョウ</t>
    </rPh>
    <rPh sb="10" eb="12">
      <t>ジッシ</t>
    </rPh>
    <phoneticPr fontId="6"/>
  </si>
  <si>
    <t>乾燥が不十分な場合はﾗｯﾋﾟﾝｸﾞ（６層被覆が基本）</t>
    <rPh sb="0" eb="2">
      <t>カンソウ</t>
    </rPh>
    <rPh sb="3" eb="6">
      <t>フジュウブン</t>
    </rPh>
    <rPh sb="7" eb="9">
      <t>バアイ</t>
    </rPh>
    <rPh sb="19" eb="20">
      <t>ソウ</t>
    </rPh>
    <rPh sb="20" eb="22">
      <t>ヒフク</t>
    </rPh>
    <rPh sb="23" eb="25">
      <t>キホン</t>
    </rPh>
    <phoneticPr fontId="6"/>
  </si>
  <si>
    <t>完熟堆肥使用</t>
    <rPh sb="0" eb="2">
      <t>カンジュク</t>
    </rPh>
    <rPh sb="2" eb="4">
      <t>タイヒ</t>
    </rPh>
    <rPh sb="4" eb="6">
      <t>シヨウ</t>
    </rPh>
    <phoneticPr fontId="6"/>
  </si>
  <si>
    <t>丁寧な作業により梱包密度を高める</t>
    <rPh sb="0" eb="2">
      <t>テイネイ</t>
    </rPh>
    <rPh sb="3" eb="5">
      <t>サギョウ</t>
    </rPh>
    <rPh sb="8" eb="10">
      <t>コンポウ</t>
    </rPh>
    <rPh sb="10" eb="12">
      <t>ミツド</t>
    </rPh>
    <rPh sb="13" eb="14">
      <t>タカ</t>
    </rPh>
    <phoneticPr fontId="6"/>
  </si>
  <si>
    <t>天候及び圃場条件と稲ワラの乾燥状況を勘案して，的確な作業を行う</t>
    <rPh sb="0" eb="2">
      <t>テンコウ</t>
    </rPh>
    <rPh sb="2" eb="3">
      <t>オヨ</t>
    </rPh>
    <rPh sb="4" eb="6">
      <t>ホジョウ</t>
    </rPh>
    <rPh sb="6" eb="8">
      <t>ジョウケン</t>
    </rPh>
    <rPh sb="9" eb="10">
      <t>イネ</t>
    </rPh>
    <rPh sb="13" eb="15">
      <t>カンソウ</t>
    </rPh>
    <rPh sb="15" eb="17">
      <t>ジョウキョウ</t>
    </rPh>
    <rPh sb="18" eb="20">
      <t>カンアン</t>
    </rPh>
    <rPh sb="23" eb="25">
      <t>テキカク</t>
    </rPh>
    <rPh sb="26" eb="28">
      <t>サギョウ</t>
    </rPh>
    <rPh sb="29" eb="30">
      <t>オコナ</t>
    </rPh>
    <phoneticPr fontId="6"/>
  </si>
  <si>
    <t>乾燥が不十分な場合は，速やかに密封する</t>
    <rPh sb="0" eb="2">
      <t>カンソウ</t>
    </rPh>
    <rPh sb="3" eb="6">
      <t>フジュウブン</t>
    </rPh>
    <rPh sb="7" eb="9">
      <t>バアイ</t>
    </rPh>
    <rPh sb="11" eb="12">
      <t>スミ</t>
    </rPh>
    <rPh sb="15" eb="17">
      <t>ミップウ</t>
    </rPh>
    <phoneticPr fontId="6"/>
  </si>
  <si>
    <t>適期播種</t>
    <rPh sb="0" eb="2">
      <t>テキキ</t>
    </rPh>
    <rPh sb="2" eb="4">
      <t>ハシュ</t>
    </rPh>
    <phoneticPr fontId="6"/>
  </si>
  <si>
    <t>７　経営収支</t>
    <phoneticPr fontId="6"/>
  </si>
  <si>
    <t>繁殖肥育一貫経営</t>
    <rPh sb="0" eb="2">
      <t>ハンショク</t>
    </rPh>
    <rPh sb="2" eb="4">
      <t>ヒイク</t>
    </rPh>
    <rPh sb="4" eb="6">
      <t>イッカン</t>
    </rPh>
    <rPh sb="6" eb="8">
      <t>ケイエイ</t>
    </rPh>
    <phoneticPr fontId="6"/>
  </si>
  <si>
    <t>肉用牛</t>
    <rPh sb="0" eb="1">
      <t>ニク</t>
    </rPh>
    <rPh sb="1" eb="2">
      <t>ヨウ</t>
    </rPh>
    <rPh sb="2" eb="3">
      <t>ギュウ</t>
    </rPh>
    <phoneticPr fontId="6"/>
  </si>
  <si>
    <t>肉用牛</t>
    <rPh sb="0" eb="3">
      <t>ニクヨウギュウ</t>
    </rPh>
    <phoneticPr fontId="6"/>
  </si>
  <si>
    <t>・肥育牛舎（150頭程度）　　　　　　　　　　　　　　　　　　　　　　　　　　　　　・繁殖牛舎（30頭程度）　　　　　　　　　　　　　　　　　　　　　　　　　　　　　・除糞にはｽｷｯﾄﾞｽﾃｱﾛｰﾀﾞｰ使用　　　　　　　　　　　　　　　　　　　　　　　　　　　　　　　　　　　　・ｻｲﾚｰｼﾞ調整や稲ワラ収集は，径90㎝×高さ80cmﾛｰﾙﾍﾞｰﾙ機械体系　　　　　　　　　　　　　　　　　　　　　</t>
    <rPh sb="1" eb="3">
      <t>ヒイク</t>
    </rPh>
    <rPh sb="3" eb="5">
      <t>ギュウシャ</t>
    </rPh>
    <rPh sb="9" eb="10">
      <t>トウ</t>
    </rPh>
    <rPh sb="10" eb="12">
      <t>テイド</t>
    </rPh>
    <rPh sb="43" eb="45">
      <t>ハンショク</t>
    </rPh>
    <rPh sb="45" eb="47">
      <t>ギュウシャ</t>
    </rPh>
    <rPh sb="50" eb="51">
      <t>トウ</t>
    </rPh>
    <rPh sb="51" eb="53">
      <t>テイド</t>
    </rPh>
    <rPh sb="84" eb="85">
      <t>ジョ</t>
    </rPh>
    <rPh sb="85" eb="86">
      <t>フン</t>
    </rPh>
    <rPh sb="101" eb="103">
      <t>シヨウ</t>
    </rPh>
    <rPh sb="146" eb="148">
      <t>チョウセイ</t>
    </rPh>
    <rPh sb="149" eb="150">
      <t>イネ</t>
    </rPh>
    <rPh sb="152" eb="154">
      <t>シュウシュウ</t>
    </rPh>
    <rPh sb="161" eb="162">
      <t>タカ</t>
    </rPh>
    <rPh sb="174" eb="176">
      <t>キカイ</t>
    </rPh>
    <rPh sb="176" eb="178">
      <t>タイケイ</t>
    </rPh>
    <phoneticPr fontId="5"/>
  </si>
  <si>
    <t>○：播種　</t>
    <phoneticPr fontId="6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</si>
  <si>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5"/>
  </si>
  <si>
    <t>良質乾草</t>
    <rPh sb="0" eb="2">
      <t>リョウシツ</t>
    </rPh>
    <rPh sb="2" eb="4">
      <t>カンソウ</t>
    </rPh>
    <phoneticPr fontId="6"/>
  </si>
  <si>
    <t>子牛用配合飼料</t>
    <rPh sb="0" eb="2">
      <t>コウシ</t>
    </rPh>
    <rPh sb="2" eb="3">
      <t>ヨウ</t>
    </rPh>
    <rPh sb="3" eb="5">
      <t>ハイゴウ</t>
    </rPh>
    <rPh sb="5" eb="7">
      <t>シリョウ</t>
    </rPh>
    <phoneticPr fontId="6"/>
  </si>
  <si>
    <t>繁殖牛用配合飼料</t>
    <rPh sb="0" eb="2">
      <t>ハンショク</t>
    </rPh>
    <rPh sb="2" eb="3">
      <t>ウシ</t>
    </rPh>
    <rPh sb="3" eb="4">
      <t>ヨウ</t>
    </rPh>
    <rPh sb="4" eb="6">
      <t>ハイゴウ</t>
    </rPh>
    <rPh sb="6" eb="8">
      <t>シリョウ</t>
    </rPh>
    <phoneticPr fontId="6"/>
  </si>
  <si>
    <t>肥育前期配合飼料</t>
    <rPh sb="0" eb="2">
      <t>ヒイク</t>
    </rPh>
    <rPh sb="2" eb="4">
      <t>ゼンキ</t>
    </rPh>
    <rPh sb="4" eb="6">
      <t>ハイゴウ</t>
    </rPh>
    <rPh sb="6" eb="8">
      <t>シリョウ</t>
    </rPh>
    <phoneticPr fontId="6"/>
  </si>
  <si>
    <t>肥育後期配合飼料</t>
    <rPh sb="0" eb="2">
      <t>ヒイク</t>
    </rPh>
    <rPh sb="2" eb="4">
      <t>コウキ</t>
    </rPh>
    <rPh sb="4" eb="6">
      <t>ハイゴウ</t>
    </rPh>
    <rPh sb="6" eb="8">
      <t>シリョウ</t>
    </rPh>
    <phoneticPr fontId="6"/>
  </si>
  <si>
    <t>育成牛用配合飼料</t>
    <rPh sb="0" eb="2">
      <t>イクセイ</t>
    </rPh>
    <rPh sb="2" eb="3">
      <t>ウシ</t>
    </rPh>
    <rPh sb="3" eb="4">
      <t>ヨウ</t>
    </rPh>
    <rPh sb="4" eb="6">
      <t>ハイゴウ</t>
    </rPh>
    <rPh sb="6" eb="8">
      <t>シリョウ</t>
    </rPh>
    <phoneticPr fontId="6"/>
  </si>
  <si>
    <t>・分娩間隔：12.5ヶ月　　　　　　　　　　　　　　　　　　　　　　　　　　　　　　　　　　　　　　　　　　　　　　　　　　　　　　　　　　　　　　　・初産月齢：23.5ヶ月　　　　　　　　　　　　　　　　　　　　　　　　　　　　　　　　　　　　　　　　　　　　　　　　　　　　　　　　　　　・繁殖牛飼養年数：10年　　　　　　　　　　　　　　　　　　　　　　　　　　　　　　　　　　　　　　　　　　　　　　　　　　　　　　　　　　　　　　・平均授精回数：1.6回　　　　　　　　　　　　　　　　　　　　　　　　　　　　　　　　　　　　　　　　　　　　　　　　　　　　　　　　　　　　　　　　　　　　　　・放牧牛：維持期の繁殖牛　　　　　　　　　　　　　　　　　　　　　　　　　　　　　　　　　　　　　　　　　　　　　　　　　　　　　　　　　　　　　　・放牧期間：３月～９月（冬季は舎飼）　　　　　　　　　　　　　　　　　　　　　　　　　　　　　　　　　　　　　　　　　　　　　　　　　　　　　　　　　　　　・子牛育成方式：推奨「子牛育成マニュアル」による（90日齢離乳）　　　　　　　　　　　                                                                               ・子牛事故率３％（流産・死産も含む）</t>
    <rPh sb="1" eb="3">
      <t>ブンベン</t>
    </rPh>
    <rPh sb="3" eb="5">
      <t>カンカク</t>
    </rPh>
    <rPh sb="11" eb="12">
      <t>ゲツ</t>
    </rPh>
    <rPh sb="76" eb="77">
      <t>ショ</t>
    </rPh>
    <rPh sb="77" eb="78">
      <t>サン</t>
    </rPh>
    <rPh sb="78" eb="80">
      <t>ゲツレイ</t>
    </rPh>
    <rPh sb="86" eb="87">
      <t>ゲツ</t>
    </rPh>
    <rPh sb="147" eb="149">
      <t>ハンショク</t>
    </rPh>
    <rPh sb="149" eb="150">
      <t>ウシ</t>
    </rPh>
    <rPh sb="150" eb="152">
      <t>シヨウ</t>
    </rPh>
    <rPh sb="152" eb="154">
      <t>ネンスウ</t>
    </rPh>
    <rPh sb="157" eb="158">
      <t>ネン</t>
    </rPh>
    <rPh sb="221" eb="223">
      <t>ヘイキン</t>
    </rPh>
    <rPh sb="223" eb="225">
      <t>ジュセイ</t>
    </rPh>
    <rPh sb="225" eb="227">
      <t>カイスウ</t>
    </rPh>
    <rPh sb="231" eb="232">
      <t>カイ</t>
    </rPh>
    <rPh sb="303" eb="305">
      <t>ホウボク</t>
    </rPh>
    <rPh sb="305" eb="306">
      <t>ウシ</t>
    </rPh>
    <rPh sb="307" eb="309">
      <t>イジ</t>
    </rPh>
    <rPh sb="309" eb="310">
      <t>キ</t>
    </rPh>
    <rPh sb="311" eb="313">
      <t>ハンショク</t>
    </rPh>
    <rPh sb="313" eb="314">
      <t>ウシ</t>
    </rPh>
    <rPh sb="377" eb="379">
      <t>ホウボク</t>
    </rPh>
    <rPh sb="379" eb="381">
      <t>キカン</t>
    </rPh>
    <rPh sb="383" eb="384">
      <t>ガツ</t>
    </rPh>
    <rPh sb="386" eb="387">
      <t>ガツ</t>
    </rPh>
    <rPh sb="388" eb="390">
      <t>トウキ</t>
    </rPh>
    <rPh sb="391" eb="392">
      <t>シャ</t>
    </rPh>
    <rPh sb="392" eb="393">
      <t>カ</t>
    </rPh>
    <rPh sb="455" eb="457">
      <t>コウシ</t>
    </rPh>
    <rPh sb="457" eb="459">
      <t>イクセイ</t>
    </rPh>
    <rPh sb="459" eb="461">
      <t>ホウシキ</t>
    </rPh>
    <rPh sb="462" eb="464">
      <t>スイショウ</t>
    </rPh>
    <rPh sb="465" eb="467">
      <t>コウシ</t>
    </rPh>
    <rPh sb="467" eb="469">
      <t>イクセイ</t>
    </rPh>
    <rPh sb="481" eb="483">
      <t>ニチレイ</t>
    </rPh>
    <rPh sb="483" eb="485">
      <t>リニュウ</t>
    </rPh>
    <rPh sb="577" eb="579">
      <t>コウシ</t>
    </rPh>
    <rPh sb="579" eb="581">
      <t>ジコ</t>
    </rPh>
    <rPh sb="581" eb="582">
      <t>リツ</t>
    </rPh>
    <rPh sb="585" eb="587">
      <t>リュウザン</t>
    </rPh>
    <rPh sb="588" eb="590">
      <t>シザン</t>
    </rPh>
    <rPh sb="591" eb="592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</si>
</sst>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_ "/>
    <numFmt numFmtId="187" formatCode="0.0;[Red]0.0"/>
    <numFmt numFmtId="188" formatCode="_(* #,##0_);_(* \(#,##0\);_(* &quot;-&quot;_);_(@_)"/>
    <numFmt numFmtId="189" formatCode="#,##0.0_ 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6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medium">
        <color indexed="8"/>
      </bottom>
      <diagonal/>
    </border>
    <border>
      <left/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3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/>
    <xf numFmtId="37" fontId="16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88" fontId="22" fillId="0" borderId="0" applyFont="0" applyFill="0" applyBorder="0" applyAlignment="0" applyProtection="0">
      <alignment wrapText="1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wrapText="1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wrapText="1"/>
    </xf>
    <xf numFmtId="0" fontId="20" fillId="0" borderId="0">
      <alignment vertical="center"/>
    </xf>
    <xf numFmtId="0" fontId="1" fillId="0" borderId="0">
      <alignment vertical="center"/>
    </xf>
  </cellStyleXfs>
  <cellXfs count="924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6" fontId="7" fillId="0" borderId="72" xfId="0" applyNumberFormat="1" applyFont="1" applyBorder="1" applyAlignment="1">
      <alignment horizontal="center" vertical="center" shrinkToFit="1"/>
    </xf>
    <xf numFmtId="176" fontId="0" fillId="0" borderId="72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30" xfId="0" applyFont="1" applyBorder="1" applyAlignment="1">
      <alignment vertical="center" wrapText="1"/>
    </xf>
    <xf numFmtId="0" fontId="0" fillId="0" borderId="56" xfId="0" applyFont="1" applyBorder="1" applyAlignment="1">
      <alignment vertical="center"/>
    </xf>
    <xf numFmtId="181" fontId="0" fillId="0" borderId="32" xfId="0" applyNumberFormat="1" applyFont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181" fontId="0" fillId="0" borderId="34" xfId="0" applyNumberFormat="1" applyFont="1" applyBorder="1" applyAlignment="1">
      <alignment horizontal="right" vertical="center"/>
    </xf>
    <xf numFmtId="181" fontId="0" fillId="3" borderId="34" xfId="0" applyNumberFormat="1" applyFont="1" applyFill="1" applyBorder="1" applyAlignment="1">
      <alignment horizontal="right" vertical="center"/>
    </xf>
    <xf numFmtId="181" fontId="0" fillId="3" borderId="36" xfId="0" applyNumberFormat="1" applyFont="1" applyFill="1" applyBorder="1" applyAlignment="1">
      <alignment horizontal="right" vertical="center"/>
    </xf>
    <xf numFmtId="181" fontId="0" fillId="0" borderId="21" xfId="0" applyNumberFormat="1" applyFont="1" applyBorder="1" applyAlignment="1">
      <alignment horizontal="right" vertical="center"/>
    </xf>
    <xf numFmtId="181" fontId="0" fillId="0" borderId="29" xfId="0" applyNumberFormat="1" applyFont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67" xfId="0" applyNumberFormat="1" applyFont="1" applyBorder="1" applyAlignment="1">
      <alignment horizontal="center" vertical="center" shrinkToFit="1"/>
    </xf>
    <xf numFmtId="176" fontId="0" fillId="0" borderId="68" xfId="0" applyNumberFormat="1" applyFont="1" applyFill="1" applyBorder="1" applyAlignment="1">
      <alignment vertical="center" shrinkToFit="1"/>
    </xf>
    <xf numFmtId="176" fontId="0" fillId="0" borderId="17" xfId="0" applyNumberFormat="1" applyFont="1" applyFill="1" applyBorder="1" applyAlignment="1">
      <alignment vertical="center" shrinkToFit="1"/>
    </xf>
    <xf numFmtId="176" fontId="0" fillId="0" borderId="17" xfId="0" applyNumberFormat="1" applyFont="1" applyFill="1" applyBorder="1" applyAlignment="1">
      <alignment horizontal="left" vertical="center" shrinkToFit="1"/>
    </xf>
    <xf numFmtId="179" fontId="0" fillId="0" borderId="17" xfId="0" applyNumberFormat="1" applyFont="1" applyFill="1" applyBorder="1" applyAlignment="1">
      <alignment vertical="center" shrinkToFit="1"/>
    </xf>
    <xf numFmtId="176" fontId="0" fillId="0" borderId="57" xfId="0" applyNumberFormat="1" applyFont="1" applyBorder="1" applyAlignment="1">
      <alignment horizontal="center" vertical="center"/>
    </xf>
    <xf numFmtId="176" fontId="0" fillId="0" borderId="27" xfId="0" applyNumberFormat="1" applyFont="1" applyBorder="1" applyAlignment="1">
      <alignment vertical="center"/>
    </xf>
    <xf numFmtId="179" fontId="0" fillId="0" borderId="5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17" xfId="0" applyNumberFormat="1" applyFont="1" applyBorder="1" applyAlignment="1">
      <alignment vertical="center" shrinkToFit="1"/>
    </xf>
    <xf numFmtId="179" fontId="0" fillId="0" borderId="16" xfId="0" applyNumberFormat="1" applyFont="1" applyBorder="1" applyAlignment="1">
      <alignment vertical="center" shrinkToFit="1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0" fillId="0" borderId="49" xfId="2" applyFont="1" applyBorder="1" applyAlignment="1">
      <alignment horizontal="center" vertical="center" wrapText="1"/>
    </xf>
    <xf numFmtId="0" fontId="10" fillId="0" borderId="89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 wrapText="1"/>
    </xf>
    <xf numFmtId="0" fontId="10" fillId="0" borderId="72" xfId="2" applyFont="1" applyBorder="1" applyAlignment="1">
      <alignment vertical="center" wrapText="1"/>
    </xf>
    <xf numFmtId="0" fontId="10" fillId="0" borderId="61" xfId="2" applyFont="1" applyBorder="1" applyAlignment="1">
      <alignment vertical="center" wrapText="1"/>
    </xf>
    <xf numFmtId="0" fontId="3" fillId="0" borderId="72" xfId="2" applyFont="1" applyBorder="1" applyAlignment="1">
      <alignment horizontal="center" vertical="center" wrapText="1"/>
    </xf>
    <xf numFmtId="0" fontId="10" fillId="0" borderId="61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 wrapText="1"/>
    </xf>
    <xf numFmtId="0" fontId="3" fillId="0" borderId="90" xfId="2" applyFont="1" applyBorder="1" applyAlignment="1">
      <alignment horizontal="center" vertical="center" wrapText="1"/>
    </xf>
    <xf numFmtId="0" fontId="3" fillId="0" borderId="91" xfId="2" applyFont="1" applyBorder="1" applyAlignment="1">
      <alignment horizontal="center" vertical="center" wrapText="1"/>
    </xf>
    <xf numFmtId="0" fontId="13" fillId="0" borderId="0" xfId="2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10" fillId="0" borderId="0" xfId="2" applyFont="1" applyAlignment="1">
      <alignment horizontal="justify" vertical="center"/>
    </xf>
    <xf numFmtId="0" fontId="10" fillId="0" borderId="20" xfId="2" applyFont="1" applyBorder="1" applyAlignment="1">
      <alignment horizontal="right" vertical="center" wrapText="1"/>
    </xf>
    <xf numFmtId="0" fontId="3" fillId="0" borderId="92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96" xfId="2" applyFont="1" applyBorder="1" applyAlignment="1">
      <alignment horizontal="center" vertical="center" wrapText="1"/>
    </xf>
    <xf numFmtId="0" fontId="3" fillId="0" borderId="97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left" vertical="center" wrapText="1"/>
    </xf>
    <xf numFmtId="0" fontId="10" fillId="0" borderId="27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5" xfId="0" applyNumberFormat="1" applyFont="1" applyFill="1" applyBorder="1" applyAlignment="1">
      <alignment vertical="center"/>
    </xf>
    <xf numFmtId="177" fontId="0" fillId="2" borderId="9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6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72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>
      <alignment vertical="center" shrinkToFit="1"/>
    </xf>
    <xf numFmtId="176" fontId="0" fillId="2" borderId="9" xfId="0" applyNumberFormat="1" applyFont="1" applyFill="1" applyBorder="1" applyAlignment="1">
      <alignment horizontal="center" vertical="center" shrinkToFit="1"/>
    </xf>
    <xf numFmtId="176" fontId="0" fillId="2" borderId="9" xfId="0" applyNumberFormat="1" applyFont="1" applyFill="1" applyBorder="1" applyAlignment="1">
      <alignment vertical="center" shrinkToFit="1"/>
    </xf>
    <xf numFmtId="176" fontId="0" fillId="2" borderId="99" xfId="0" applyNumberFormat="1" applyFont="1" applyFill="1" applyBorder="1" applyAlignment="1">
      <alignment vertical="center" shrinkToFit="1"/>
    </xf>
    <xf numFmtId="176" fontId="0" fillId="2" borderId="17" xfId="0" applyNumberFormat="1" applyFont="1" applyFill="1" applyBorder="1" applyAlignment="1">
      <alignment vertical="center" shrinkToFit="1"/>
    </xf>
    <xf numFmtId="176" fontId="0" fillId="2" borderId="59" xfId="0" applyNumberFormat="1" applyFont="1" applyFill="1" applyBorder="1" applyAlignment="1">
      <alignment vertical="center" shrinkToFit="1"/>
    </xf>
    <xf numFmtId="176" fontId="0" fillId="0" borderId="21" xfId="0" applyNumberFormat="1" applyFont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7" xfId="0" applyNumberFormat="1" applyFont="1" applyFill="1" applyBorder="1" applyAlignment="1">
      <alignment vertical="center" shrinkToFit="1"/>
    </xf>
    <xf numFmtId="179" fontId="0" fillId="0" borderId="106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16" xfId="0" applyNumberFormat="1" applyFill="1" applyBorder="1" applyAlignment="1">
      <alignment vertical="center"/>
    </xf>
    <xf numFmtId="177" fontId="0" fillId="5" borderId="117" xfId="0" applyNumberFormat="1" applyFont="1" applyFill="1" applyBorder="1" applyAlignment="1">
      <alignment vertical="center" shrinkToFit="1"/>
    </xf>
    <xf numFmtId="177" fontId="0" fillId="0" borderId="117" xfId="3" applyNumberFormat="1" applyFont="1" applyBorder="1" applyAlignment="1">
      <alignment vertical="center"/>
    </xf>
    <xf numFmtId="177" fontId="0" fillId="0" borderId="86" xfId="3" applyNumberFormat="1" applyFont="1" applyBorder="1" applyAlignment="1">
      <alignment horizontal="right" vertical="center"/>
    </xf>
    <xf numFmtId="177" fontId="0" fillId="0" borderId="86" xfId="3" applyNumberFormat="1" applyFont="1" applyBorder="1" applyAlignment="1">
      <alignment horizontal="left" vertical="center" shrinkToFit="1"/>
    </xf>
    <xf numFmtId="177" fontId="0" fillId="0" borderId="118" xfId="0" applyNumberFormat="1" applyFont="1" applyBorder="1" applyAlignment="1">
      <alignment vertical="center"/>
    </xf>
    <xf numFmtId="177" fontId="0" fillId="0" borderId="119" xfId="0" applyNumberFormat="1" applyFont="1" applyBorder="1" applyAlignment="1">
      <alignment vertical="center"/>
    </xf>
    <xf numFmtId="177" fontId="0" fillId="0" borderId="120" xfId="0" applyNumberFormat="1" applyFont="1" applyBorder="1" applyAlignment="1">
      <alignment vertical="center"/>
    </xf>
    <xf numFmtId="177" fontId="0" fillId="0" borderId="116" xfId="0" applyNumberFormat="1" applyFont="1" applyBorder="1" applyAlignment="1">
      <alignment vertical="center"/>
    </xf>
    <xf numFmtId="178" fontId="0" fillId="0" borderId="13" xfId="0" applyNumberFormat="1" applyFont="1" applyBorder="1" applyAlignment="1">
      <alignment horizontal="left" vertical="center"/>
    </xf>
    <xf numFmtId="177" fontId="0" fillId="0" borderId="119" xfId="3" applyNumberFormat="1" applyFont="1" applyBorder="1" applyAlignment="1">
      <alignment vertical="center" shrinkToFit="1"/>
    </xf>
    <xf numFmtId="177" fontId="0" fillId="0" borderId="119" xfId="0" applyNumberFormat="1" applyFont="1" applyFill="1" applyBorder="1" applyAlignment="1">
      <alignment vertical="center"/>
    </xf>
    <xf numFmtId="177" fontId="0" fillId="0" borderId="116" xfId="0" applyNumberFormat="1" applyFont="1" applyFill="1" applyBorder="1" applyAlignment="1">
      <alignment vertical="center"/>
    </xf>
    <xf numFmtId="177" fontId="0" fillId="0" borderId="119" xfId="0" applyNumberFormat="1" applyFill="1" applyBorder="1" applyAlignment="1">
      <alignment vertical="center"/>
    </xf>
    <xf numFmtId="178" fontId="0" fillId="0" borderId="116" xfId="0" applyNumberFormat="1" applyFont="1" applyFill="1" applyBorder="1" applyAlignment="1">
      <alignment vertical="center"/>
    </xf>
    <xf numFmtId="9" fontId="0" fillId="0" borderId="12" xfId="0" applyNumberFormat="1" applyFon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7" fontId="0" fillId="0" borderId="44" xfId="0" applyNumberFormat="1" applyFont="1" applyFill="1" applyBorder="1" applyAlignment="1">
      <alignment vertical="center"/>
    </xf>
    <xf numFmtId="177" fontId="0" fillId="0" borderId="19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19" xfId="0" applyNumberFormat="1" applyFont="1" applyFill="1" applyBorder="1" applyAlignment="1">
      <alignment vertical="center" shrinkToFit="1"/>
    </xf>
    <xf numFmtId="177" fontId="0" fillId="0" borderId="60" xfId="0" applyNumberFormat="1" applyFont="1" applyFill="1" applyBorder="1" applyAlignment="1">
      <alignment vertical="center" shrinkToFit="1"/>
    </xf>
    <xf numFmtId="177" fontId="0" fillId="0" borderId="72" xfId="0" applyNumberFormat="1" applyFont="1" applyFill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44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120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16" xfId="3" applyNumberFormat="1" applyFont="1" applyFill="1" applyBorder="1" applyAlignment="1">
      <alignment vertical="center"/>
    </xf>
    <xf numFmtId="0" fontId="0" fillId="0" borderId="12" xfId="3" applyFont="1" applyFill="1" applyBorder="1" applyAlignment="1">
      <alignment vertical="center" shrinkToFit="1"/>
    </xf>
    <xf numFmtId="178" fontId="0" fillId="0" borderId="13" xfId="0" applyNumberFormat="1" applyFont="1" applyFill="1" applyBorder="1" applyAlignment="1">
      <alignment horizontal="left" vertical="center"/>
    </xf>
    <xf numFmtId="178" fontId="0" fillId="0" borderId="12" xfId="0" applyNumberFormat="1" applyFont="1" applyFill="1" applyBorder="1" applyAlignment="1">
      <alignment horizontal="left" vertical="center"/>
    </xf>
    <xf numFmtId="177" fontId="0" fillId="0" borderId="12" xfId="3" applyNumberFormat="1" applyFont="1" applyFill="1" applyBorder="1" applyAlignment="1">
      <alignment vertical="center" shrinkToFit="1"/>
    </xf>
    <xf numFmtId="178" fontId="0" fillId="0" borderId="119" xfId="0" applyNumberFormat="1" applyFont="1" applyFill="1" applyBorder="1" applyAlignment="1">
      <alignment horizontal="left" vertical="center"/>
    </xf>
    <xf numFmtId="177" fontId="0" fillId="0" borderId="119" xfId="3" applyNumberFormat="1" applyFont="1" applyFill="1" applyBorder="1" applyAlignment="1">
      <alignment vertical="center" shrinkToFit="1"/>
    </xf>
    <xf numFmtId="178" fontId="0" fillId="0" borderId="120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2" xfId="0" applyNumberFormat="1" applyFont="1" applyFill="1" applyBorder="1" applyAlignment="1">
      <alignment vertical="center"/>
    </xf>
    <xf numFmtId="177" fontId="0" fillId="0" borderId="122" xfId="3" applyNumberFormat="1" applyFont="1" applyBorder="1" applyAlignment="1">
      <alignment horizontal="center" vertical="center" shrinkToFit="1"/>
    </xf>
    <xf numFmtId="176" fontId="0" fillId="2" borderId="45" xfId="0" applyNumberFormat="1" applyFont="1" applyFill="1" applyBorder="1" applyAlignment="1">
      <alignment horizontal="center" vertical="center" shrinkToFit="1"/>
    </xf>
    <xf numFmtId="177" fontId="0" fillId="2" borderId="45" xfId="0" applyNumberFormat="1" applyFont="1" applyFill="1" applyBorder="1" applyAlignment="1">
      <alignment vertical="center" shrinkToFit="1"/>
    </xf>
    <xf numFmtId="177" fontId="0" fillId="0" borderId="21" xfId="3" applyNumberFormat="1" applyFont="1" applyBorder="1" applyAlignment="1">
      <alignment vertical="center" shrinkToFit="1"/>
    </xf>
    <xf numFmtId="177" fontId="0" fillId="0" borderId="21" xfId="3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7" fontId="0" fillId="2" borderId="45" xfId="3" applyNumberFormat="1" applyFont="1" applyFill="1" applyBorder="1" applyAlignment="1">
      <alignment horizontal="center" vertical="center" shrinkToFit="1"/>
    </xf>
    <xf numFmtId="177" fontId="0" fillId="2" borderId="45" xfId="3" applyNumberFormat="1" applyFont="1" applyFill="1" applyBorder="1" applyAlignment="1">
      <alignment vertical="center" shrinkToFit="1"/>
    </xf>
    <xf numFmtId="176" fontId="0" fillId="5" borderId="125" xfId="0" applyNumberFormat="1" applyFont="1" applyFill="1" applyBorder="1" applyAlignment="1">
      <alignment vertical="center"/>
    </xf>
    <xf numFmtId="176" fontId="0" fillId="0" borderId="21" xfId="3" applyNumberFormat="1" applyFont="1" applyFill="1" applyBorder="1" applyAlignment="1">
      <alignment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9" fontId="0" fillId="0" borderId="21" xfId="3" applyNumberFormat="1" applyFont="1" applyFill="1" applyBorder="1" applyAlignment="1">
      <alignment vertical="center" shrinkToFit="1"/>
    </xf>
    <xf numFmtId="177" fontId="0" fillId="0" borderId="139" xfId="0" applyNumberFormat="1" applyFont="1" applyFill="1" applyBorder="1" applyAlignment="1">
      <alignment vertical="center" shrinkToFit="1"/>
    </xf>
    <xf numFmtId="177" fontId="0" fillId="0" borderId="140" xfId="0" applyNumberFormat="1" applyFont="1" applyFill="1" applyBorder="1" applyAlignment="1">
      <alignment vertical="center" shrinkToFit="1"/>
    </xf>
    <xf numFmtId="181" fontId="0" fillId="0" borderId="103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179" fontId="0" fillId="0" borderId="0" xfId="0" applyNumberFormat="1" applyFont="1" applyBorder="1" applyAlignment="1">
      <alignment vertical="center" shrinkToFit="1"/>
    </xf>
    <xf numFmtId="179" fontId="0" fillId="0" borderId="143" xfId="0" applyNumberFormat="1" applyFont="1" applyBorder="1" applyAlignment="1">
      <alignment vertical="center" shrinkToFit="1"/>
    </xf>
    <xf numFmtId="176" fontId="0" fillId="0" borderId="64" xfId="0" applyNumberForma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45" xfId="0" applyNumberFormat="1" applyFont="1" applyBorder="1" applyAlignment="1">
      <alignment vertical="center" shrinkToFit="1"/>
    </xf>
    <xf numFmtId="179" fontId="0" fillId="0" borderId="146" xfId="0" applyNumberFormat="1" applyFont="1" applyBorder="1" applyAlignment="1">
      <alignment vertical="center" shrinkToFit="1"/>
    </xf>
    <xf numFmtId="179" fontId="0" fillId="0" borderId="116" xfId="0" applyNumberFormat="1" applyFont="1" applyBorder="1" applyAlignment="1">
      <alignment vertical="center" shrinkToFit="1"/>
    </xf>
    <xf numFmtId="179" fontId="0" fillId="0" borderId="9" xfId="0" applyNumberFormat="1" applyFont="1" applyBorder="1" applyAlignment="1">
      <alignment vertical="center" shrinkToFit="1"/>
    </xf>
    <xf numFmtId="179" fontId="0" fillId="0" borderId="148" xfId="0" applyNumberFormat="1" applyFont="1" applyBorder="1" applyAlignment="1">
      <alignment vertical="center" shrinkToFit="1"/>
    </xf>
    <xf numFmtId="179" fontId="0" fillId="0" borderId="99" xfId="0" applyNumberFormat="1" applyFont="1" applyBorder="1" applyAlignment="1">
      <alignment vertical="center" shrinkToFit="1"/>
    </xf>
    <xf numFmtId="184" fontId="0" fillId="0" borderId="10" xfId="0" applyNumberFormat="1" applyFont="1" applyBorder="1" applyAlignment="1">
      <alignment vertical="center" shrinkToFit="1"/>
    </xf>
    <xf numFmtId="184" fontId="0" fillId="0" borderId="145" xfId="0" applyNumberFormat="1" applyFont="1" applyBorder="1" applyAlignment="1">
      <alignment vertical="center" shrinkToFit="1"/>
    </xf>
    <xf numFmtId="0" fontId="3" fillId="0" borderId="0" xfId="2" applyFont="1" applyAlignment="1">
      <alignment horizontal="right" vertical="center"/>
    </xf>
    <xf numFmtId="177" fontId="0" fillId="0" borderId="11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72" xfId="0" applyNumberFormat="1" applyFont="1" applyBorder="1" applyAlignment="1">
      <alignment vertical="center" shrinkToFit="1"/>
    </xf>
    <xf numFmtId="9" fontId="0" fillId="0" borderId="72" xfId="0" applyNumberFormat="1" applyFont="1" applyBorder="1" applyAlignment="1">
      <alignment vertical="center" shrinkToFit="1"/>
    </xf>
    <xf numFmtId="182" fontId="0" fillId="0" borderId="72" xfId="4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horizontal="right" vertical="center" shrinkToFit="1"/>
    </xf>
    <xf numFmtId="49" fontId="0" fillId="0" borderId="72" xfId="0" applyNumberFormat="1" applyFont="1" applyBorder="1" applyAlignment="1">
      <alignment vertical="center" shrinkToFit="1"/>
    </xf>
    <xf numFmtId="176" fontId="0" fillId="2" borderId="72" xfId="0" applyNumberFormat="1" applyFont="1" applyFill="1" applyBorder="1" applyAlignment="1">
      <alignment vertical="center" shrinkToFit="1"/>
    </xf>
    <xf numFmtId="176" fontId="0" fillId="2" borderId="72" xfId="0" applyNumberFormat="1" applyFont="1" applyFill="1" applyBorder="1" applyAlignment="1">
      <alignment horizontal="left" vertical="center" shrinkToFit="1"/>
    </xf>
    <xf numFmtId="179" fontId="0" fillId="2" borderId="72" xfId="0" applyNumberFormat="1" applyFont="1" applyFill="1" applyBorder="1" applyAlignment="1">
      <alignment vertical="center" shrinkToFit="1"/>
    </xf>
    <xf numFmtId="9" fontId="0" fillId="0" borderId="72" xfId="4" applyFont="1" applyBorder="1" applyAlignment="1">
      <alignment vertical="center" shrinkToFit="1"/>
    </xf>
    <xf numFmtId="176" fontId="0" fillId="0" borderId="72" xfId="0" applyNumberFormat="1" applyBorder="1" applyAlignment="1">
      <alignment horizontal="center" vertical="center" shrinkToFit="1"/>
    </xf>
    <xf numFmtId="177" fontId="0" fillId="0" borderId="32" xfId="0" applyNumberFormat="1" applyBorder="1" applyAlignment="1">
      <alignment horizontal="center" vertical="center" shrinkToFit="1"/>
    </xf>
    <xf numFmtId="177" fontId="0" fillId="0" borderId="44" xfId="0" applyNumberFormat="1" applyFill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 shrinkToFit="1"/>
    </xf>
    <xf numFmtId="0" fontId="0" fillId="0" borderId="21" xfId="0" applyFont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177" fontId="0" fillId="0" borderId="134" xfId="0" applyNumberFormat="1" applyFont="1" applyFill="1" applyBorder="1" applyAlignment="1">
      <alignment vertical="center"/>
    </xf>
    <xf numFmtId="177" fontId="0" fillId="0" borderId="140" xfId="0" applyNumberFormat="1" applyFont="1" applyFill="1" applyBorder="1" applyAlignment="1">
      <alignment vertical="center"/>
    </xf>
    <xf numFmtId="176" fontId="0" fillId="0" borderId="116" xfId="0" applyNumberFormat="1" applyFont="1" applyBorder="1" applyAlignment="1">
      <alignment vertical="center" shrinkToFit="1"/>
    </xf>
    <xf numFmtId="185" fontId="0" fillId="0" borderId="63" xfId="0" applyNumberFormat="1" applyFont="1" applyBorder="1" applyAlignment="1">
      <alignment horizontal="center" vertical="center"/>
    </xf>
    <xf numFmtId="0" fontId="0" fillId="0" borderId="150" xfId="0" applyFont="1" applyBorder="1" applyAlignment="1">
      <alignment horizontal="center" vertical="center"/>
    </xf>
    <xf numFmtId="181" fontId="0" fillId="0" borderId="150" xfId="0" applyNumberFormat="1" applyFont="1" applyBorder="1" applyAlignment="1">
      <alignment horizontal="right" vertical="center"/>
    </xf>
    <xf numFmtId="181" fontId="0" fillId="4" borderId="36" xfId="0" applyNumberFormat="1" applyFon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181" fontId="0" fillId="6" borderId="34" xfId="0" applyNumberFormat="1" applyFont="1" applyFill="1" applyBorder="1" applyAlignment="1">
      <alignment horizontal="right" vertical="center"/>
    </xf>
    <xf numFmtId="181" fontId="0" fillId="6" borderId="37" xfId="1" applyNumberFormat="1" applyFont="1" applyFill="1" applyBorder="1" applyAlignment="1">
      <alignment horizontal="right" vertical="center"/>
    </xf>
    <xf numFmtId="181" fontId="0" fillId="0" borderId="33" xfId="0" applyNumberFormat="1" applyFont="1" applyBorder="1" applyAlignment="1">
      <alignment vertical="center"/>
    </xf>
    <xf numFmtId="181" fontId="0" fillId="0" borderId="154" xfId="0" applyNumberFormat="1" applyFont="1" applyBorder="1" applyAlignment="1">
      <alignment vertical="center"/>
    </xf>
    <xf numFmtId="181" fontId="0" fillId="3" borderId="21" xfId="1" applyNumberFormat="1" applyFont="1" applyFill="1" applyBorder="1" applyAlignment="1">
      <alignment horizontal="right" vertical="center"/>
    </xf>
    <xf numFmtId="181" fontId="0" fillId="0" borderId="33" xfId="0" applyNumberFormat="1" applyFont="1" applyBorder="1" applyAlignment="1">
      <alignment horizontal="right" vertical="center"/>
    </xf>
    <xf numFmtId="182" fontId="0" fillId="3" borderId="21" xfId="1" applyNumberFormat="1" applyFont="1" applyFill="1" applyBorder="1" applyAlignment="1">
      <alignment horizontal="right" vertical="center"/>
    </xf>
    <xf numFmtId="181" fontId="0" fillId="3" borderId="42" xfId="1" applyNumberFormat="1" applyFont="1" applyFill="1" applyBorder="1" applyAlignment="1">
      <alignment horizontal="right" vertical="center"/>
    </xf>
    <xf numFmtId="0" fontId="0" fillId="0" borderId="151" xfId="0" applyFont="1" applyBorder="1" applyAlignment="1">
      <alignment horizontal="center" vertical="center"/>
    </xf>
    <xf numFmtId="185" fontId="0" fillId="0" borderId="112" xfId="0" applyNumberFormat="1" applyFont="1" applyBorder="1" applyAlignment="1">
      <alignment horizontal="center" vertical="center"/>
    </xf>
    <xf numFmtId="181" fontId="0" fillId="0" borderId="151" xfId="0" applyNumberFormat="1" applyFont="1" applyBorder="1" applyAlignment="1">
      <alignment horizontal="right" vertical="center"/>
    </xf>
    <xf numFmtId="181" fontId="0" fillId="4" borderId="160" xfId="0" applyNumberFormat="1" applyFont="1" applyFill="1" applyBorder="1" applyAlignment="1">
      <alignment horizontal="right" vertical="center"/>
    </xf>
    <xf numFmtId="181" fontId="0" fillId="0" borderId="33" xfId="0" applyNumberFormat="1" applyFont="1" applyFill="1" applyBorder="1" applyAlignment="1">
      <alignment horizontal="right" vertical="center"/>
    </xf>
    <xf numFmtId="181" fontId="0" fillId="6" borderId="47" xfId="1" applyNumberFormat="1" applyFont="1" applyFill="1" applyBorder="1" applyAlignment="1">
      <alignment horizontal="right" vertical="center"/>
    </xf>
    <xf numFmtId="181" fontId="0" fillId="3" borderId="29" xfId="1" applyNumberFormat="1" applyFont="1" applyFill="1" applyBorder="1" applyAlignment="1">
      <alignment horizontal="right" vertical="center"/>
    </xf>
    <xf numFmtId="182" fontId="0" fillId="3" borderId="29" xfId="1" applyNumberFormat="1" applyFont="1" applyFill="1" applyBorder="1" applyAlignment="1">
      <alignment horizontal="right" vertical="center"/>
    </xf>
    <xf numFmtId="181" fontId="0" fillId="3" borderId="40" xfId="1" applyNumberFormat="1" applyFont="1" applyFill="1" applyBorder="1" applyAlignment="1">
      <alignment horizontal="right" vertical="center"/>
    </xf>
    <xf numFmtId="181" fontId="0" fillId="4" borderId="133" xfId="0" applyNumberFormat="1" applyFont="1" applyFill="1" applyBorder="1" applyAlignment="1">
      <alignment horizontal="right" vertical="center"/>
    </xf>
    <xf numFmtId="181" fontId="0" fillId="0" borderId="21" xfId="0" applyNumberFormat="1" applyFont="1" applyFill="1" applyBorder="1" applyAlignment="1">
      <alignment horizontal="right" vertical="center"/>
    </xf>
    <xf numFmtId="177" fontId="0" fillId="0" borderId="116" xfId="3" applyNumberFormat="1" applyFont="1" applyFill="1" applyBorder="1" applyAlignment="1">
      <alignment vertical="center" shrinkToFit="1"/>
    </xf>
    <xf numFmtId="176" fontId="0" fillId="0" borderId="163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59" xfId="0" applyNumberFormat="1" applyFont="1" applyFill="1" applyBorder="1" applyAlignment="1">
      <alignment vertical="center" shrinkToFit="1"/>
    </xf>
    <xf numFmtId="177" fontId="0" fillId="7" borderId="116" xfId="0" applyNumberFormat="1" applyFill="1" applyBorder="1" applyAlignment="1">
      <alignment vertical="center"/>
    </xf>
    <xf numFmtId="177" fontId="0" fillId="7" borderId="94" xfId="0" applyNumberFormat="1" applyFont="1" applyFill="1" applyBorder="1" applyAlignment="1">
      <alignment vertical="center"/>
    </xf>
    <xf numFmtId="177" fontId="0" fillId="7" borderId="116" xfId="0" applyNumberFormat="1" applyFill="1" applyBorder="1" applyAlignment="1">
      <alignment horizontal="center" vertical="center"/>
    </xf>
    <xf numFmtId="177" fontId="0" fillId="7" borderId="116" xfId="0" applyNumberFormat="1" applyFont="1" applyFill="1" applyBorder="1" applyAlignment="1">
      <alignment horizontal="center" vertical="center"/>
    </xf>
    <xf numFmtId="177" fontId="0" fillId="7" borderId="110" xfId="0" applyNumberFormat="1" applyFont="1" applyFill="1" applyBorder="1" applyAlignment="1">
      <alignment vertical="center"/>
    </xf>
    <xf numFmtId="177" fontId="0" fillId="7" borderId="164" xfId="0" applyNumberFormat="1" applyFont="1" applyFill="1" applyBorder="1" applyAlignment="1">
      <alignment vertical="center"/>
    </xf>
    <xf numFmtId="177" fontId="0" fillId="0" borderId="22" xfId="0" applyNumberFormat="1" applyFill="1" applyBorder="1" applyAlignment="1">
      <alignment vertical="center"/>
    </xf>
    <xf numFmtId="177" fontId="0" fillId="0" borderId="92" xfId="0" applyNumberFormat="1" applyFon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21" xfId="0" applyNumberFormat="1" applyFont="1" applyBorder="1" applyAlignment="1">
      <alignment vertical="center"/>
    </xf>
    <xf numFmtId="177" fontId="0" fillId="0" borderId="29" xfId="0" applyNumberFormat="1" applyFont="1" applyBorder="1" applyAlignment="1">
      <alignment vertical="center"/>
    </xf>
    <xf numFmtId="177" fontId="0" fillId="0" borderId="34" xfId="0" applyNumberFormat="1" applyFont="1" applyBorder="1" applyAlignment="1">
      <alignment vertical="center"/>
    </xf>
    <xf numFmtId="177" fontId="0" fillId="0" borderId="92" xfId="0" applyNumberFormat="1" applyFont="1" applyBorder="1" applyAlignment="1">
      <alignment vertical="center"/>
    </xf>
    <xf numFmtId="177" fontId="0" fillId="0" borderId="20" xfId="0" applyNumberFormat="1" applyFont="1" applyBorder="1" applyAlignment="1">
      <alignment vertical="center"/>
    </xf>
    <xf numFmtId="177" fontId="0" fillId="0" borderId="168" xfId="0" applyNumberFormat="1" applyFont="1" applyBorder="1" applyAlignment="1">
      <alignment vertical="center"/>
    </xf>
    <xf numFmtId="177" fontId="0" fillId="0" borderId="167" xfId="0" applyNumberFormat="1" applyFont="1" applyBorder="1" applyAlignment="1">
      <alignment vertical="center"/>
    </xf>
    <xf numFmtId="177" fontId="0" fillId="0" borderId="169" xfId="0" applyNumberFormat="1" applyFont="1" applyFill="1" applyBorder="1" applyAlignment="1">
      <alignment vertical="center"/>
    </xf>
    <xf numFmtId="181" fontId="0" fillId="0" borderId="29" xfId="0" applyNumberFormat="1" applyFont="1" applyBorder="1" applyAlignment="1">
      <alignment vertical="center"/>
    </xf>
    <xf numFmtId="181" fontId="0" fillId="0" borderId="33" xfId="0" applyNumberFormat="1" applyFont="1" applyBorder="1" applyAlignment="1">
      <alignment vertical="center"/>
    </xf>
    <xf numFmtId="181" fontId="0" fillId="0" borderId="154" xfId="0" applyNumberFormat="1" applyFont="1" applyBorder="1" applyAlignment="1">
      <alignment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0" borderId="23" xfId="2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 wrapText="1"/>
    </xf>
    <xf numFmtId="0" fontId="3" fillId="0" borderId="139" xfId="2" applyFont="1" applyBorder="1" applyAlignment="1">
      <alignment horizontal="center" vertical="center" wrapText="1"/>
    </xf>
    <xf numFmtId="0" fontId="0" fillId="0" borderId="134" xfId="2" applyFont="1" applyBorder="1" applyAlignment="1">
      <alignment horizontal="center" vertical="center" wrapText="1"/>
    </xf>
    <xf numFmtId="0" fontId="0" fillId="0" borderId="97" xfId="2" applyFont="1" applyBorder="1" applyAlignment="1">
      <alignment horizontal="center" vertical="center" wrapText="1"/>
    </xf>
    <xf numFmtId="0" fontId="0" fillId="0" borderId="44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10" fillId="0" borderId="0" xfId="2" applyFont="1" applyBorder="1" applyAlignment="1">
      <alignment vertical="center" wrapText="1"/>
    </xf>
    <xf numFmtId="0" fontId="0" fillId="0" borderId="175" xfId="0" applyFont="1" applyBorder="1" applyAlignment="1">
      <alignment vertical="center" wrapText="1"/>
    </xf>
    <xf numFmtId="0" fontId="0" fillId="0" borderId="176" xfId="0" applyFont="1" applyBorder="1" applyAlignment="1">
      <alignment vertical="center"/>
    </xf>
    <xf numFmtId="181" fontId="0" fillId="0" borderId="176" xfId="0" applyNumberFormat="1" applyFont="1" applyBorder="1" applyAlignment="1">
      <alignment horizontal="right" vertical="center"/>
    </xf>
    <xf numFmtId="0" fontId="0" fillId="0" borderId="181" xfId="0" applyFont="1" applyBorder="1" applyAlignment="1">
      <alignment horizontal="left" vertical="center"/>
    </xf>
    <xf numFmtId="0" fontId="0" fillId="0" borderId="106" xfId="0" applyFont="1" applyBorder="1" applyAlignment="1">
      <alignment horizontal="left" vertical="center"/>
    </xf>
    <xf numFmtId="0" fontId="10" fillId="0" borderId="183" xfId="0" applyFont="1" applyBorder="1" applyAlignment="1">
      <alignment horizontal="center" vertical="center" shrinkToFit="1"/>
    </xf>
    <xf numFmtId="0" fontId="10" fillId="0" borderId="186" xfId="0" applyFont="1" applyBorder="1" applyAlignment="1">
      <alignment horizontal="center" vertical="center" shrinkToFit="1"/>
    </xf>
    <xf numFmtId="0" fontId="10" fillId="0" borderId="197" xfId="2" applyFont="1" applyBorder="1" applyAlignment="1">
      <alignment horizontal="center" vertical="center" wrapText="1"/>
    </xf>
    <xf numFmtId="0" fontId="3" fillId="0" borderId="134" xfId="2" applyFont="1" applyBorder="1" applyAlignment="1">
      <alignment horizontal="center" vertical="center" wrapText="1"/>
    </xf>
    <xf numFmtId="0" fontId="3" fillId="0" borderId="140" xfId="2" applyFont="1" applyBorder="1" applyAlignment="1">
      <alignment horizontal="center" vertical="center" wrapText="1"/>
    </xf>
    <xf numFmtId="0" fontId="0" fillId="0" borderId="139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176" fontId="0" fillId="0" borderId="16" xfId="0" applyNumberFormat="1" applyFont="1" applyBorder="1" applyAlignment="1">
      <alignment vertical="center"/>
    </xf>
    <xf numFmtId="0" fontId="10" fillId="0" borderId="211" xfId="2" applyFont="1" applyBorder="1" applyAlignment="1">
      <alignment horizontal="center" vertical="center" wrapText="1"/>
    </xf>
    <xf numFmtId="0" fontId="0" fillId="0" borderId="72" xfId="2" applyFont="1" applyBorder="1" applyAlignment="1">
      <alignment horizontal="center" vertical="center" wrapText="1"/>
    </xf>
    <xf numFmtId="0" fontId="0" fillId="0" borderId="72" xfId="2" applyFont="1" applyBorder="1" applyAlignment="1">
      <alignment vertical="center" wrapText="1"/>
    </xf>
    <xf numFmtId="0" fontId="10" fillId="0" borderId="135" xfId="2" applyFont="1" applyBorder="1" applyAlignment="1">
      <alignment vertical="center" wrapText="1"/>
    </xf>
    <xf numFmtId="0" fontId="10" fillId="0" borderId="135" xfId="2" applyFont="1" applyBorder="1" applyAlignment="1">
      <alignment horizontal="right" vertical="center" wrapText="1"/>
    </xf>
    <xf numFmtId="0" fontId="3" fillId="0" borderId="135" xfId="2" applyFont="1" applyBorder="1" applyAlignment="1">
      <alignment horizontal="center" vertical="center" wrapText="1"/>
    </xf>
    <xf numFmtId="0" fontId="0" fillId="0" borderId="135" xfId="2" applyFont="1" applyBorder="1" applyAlignment="1">
      <alignment horizontal="center" vertical="center" wrapText="1"/>
    </xf>
    <xf numFmtId="0" fontId="3" fillId="0" borderId="136" xfId="2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176" fontId="0" fillId="0" borderId="213" xfId="0" applyNumberFormat="1" applyFont="1" applyBorder="1" applyAlignment="1">
      <alignment horizontal="center" vertical="center" shrinkToFit="1"/>
    </xf>
    <xf numFmtId="179" fontId="0" fillId="0" borderId="213" xfId="0" applyNumberFormat="1" applyFont="1" applyBorder="1" applyAlignment="1">
      <alignment horizontal="center" vertical="center" shrinkToFit="1"/>
    </xf>
    <xf numFmtId="176" fontId="7" fillId="0" borderId="116" xfId="0" applyNumberFormat="1" applyFont="1" applyBorder="1" applyAlignment="1">
      <alignment horizontal="center" vertical="center" shrinkToFit="1"/>
    </xf>
    <xf numFmtId="179" fontId="7" fillId="0" borderId="116" xfId="0" applyNumberFormat="1" applyFont="1" applyBorder="1" applyAlignment="1">
      <alignment horizontal="center" vertical="center" shrinkToFit="1"/>
    </xf>
    <xf numFmtId="9" fontId="0" fillId="0" borderId="116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82" fontId="0" fillId="0" borderId="116" xfId="4" applyNumberFormat="1" applyFont="1" applyBorder="1" applyAlignment="1">
      <alignment vertical="center" shrinkToFit="1"/>
    </xf>
    <xf numFmtId="176" fontId="0" fillId="2" borderId="116" xfId="0" applyNumberFormat="1" applyFont="1" applyFill="1" applyBorder="1" applyAlignment="1">
      <alignment horizontal="center"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horizontal="left" vertical="center" shrinkToFit="1"/>
    </xf>
    <xf numFmtId="179" fontId="0" fillId="2" borderId="116" xfId="0" applyNumberFormat="1" applyFont="1" applyFill="1" applyBorder="1" applyAlignment="1">
      <alignment vertical="center" shrinkToFit="1"/>
    </xf>
    <xf numFmtId="9" fontId="0" fillId="0" borderId="116" xfId="0" applyNumberFormat="1" applyFont="1" applyFill="1" applyBorder="1" applyAlignment="1">
      <alignment vertical="center" shrinkToFit="1"/>
    </xf>
    <xf numFmtId="176" fontId="0" fillId="0" borderId="116" xfId="0" applyNumberFormat="1" applyFont="1" applyFill="1" applyBorder="1" applyAlignment="1">
      <alignment vertical="center" shrinkToFit="1"/>
    </xf>
    <xf numFmtId="9" fontId="0" fillId="0" borderId="116" xfId="4" applyFont="1" applyBorder="1" applyAlignment="1">
      <alignment vertical="center" shrinkToFit="1"/>
    </xf>
    <xf numFmtId="176" fontId="0" fillId="2" borderId="195" xfId="0" applyNumberFormat="1" applyFont="1" applyFill="1" applyBorder="1" applyAlignment="1">
      <alignment vertical="center" shrinkToFit="1"/>
    </xf>
    <xf numFmtId="181" fontId="0" fillId="0" borderId="29" xfId="0" applyNumberFormat="1" applyFont="1" applyBorder="1" applyAlignment="1">
      <alignment vertical="center"/>
    </xf>
    <xf numFmtId="181" fontId="0" fillId="0" borderId="33" xfId="0" applyNumberFormat="1" applyFont="1" applyBorder="1" applyAlignment="1">
      <alignment vertical="center"/>
    </xf>
    <xf numFmtId="181" fontId="0" fillId="0" borderId="154" xfId="0" applyNumberFormat="1" applyFont="1" applyBorder="1" applyAlignment="1">
      <alignment vertical="center"/>
    </xf>
    <xf numFmtId="177" fontId="19" fillId="0" borderId="6" xfId="0" applyNumberFormat="1" applyFont="1" applyFill="1" applyBorder="1" applyAlignment="1">
      <alignment vertical="center"/>
    </xf>
    <xf numFmtId="177" fontId="0" fillId="0" borderId="116" xfId="3" applyNumberFormat="1" applyFont="1" applyBorder="1" applyAlignment="1">
      <alignment vertical="center" shrinkToFit="1"/>
    </xf>
    <xf numFmtId="0" fontId="10" fillId="0" borderId="72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0" fontId="10" fillId="0" borderId="197" xfId="2" applyFont="1" applyBorder="1" applyAlignment="1">
      <alignment horizontal="center" vertical="center" wrapText="1"/>
    </xf>
    <xf numFmtId="0" fontId="10" fillId="0" borderId="190" xfId="2" applyFont="1" applyBorder="1" applyAlignment="1">
      <alignment horizontal="center" vertical="center" wrapText="1"/>
    </xf>
    <xf numFmtId="0" fontId="10" fillId="0" borderId="134" xfId="2" applyFont="1" applyBorder="1" applyAlignment="1">
      <alignment vertical="center" wrapText="1"/>
    </xf>
    <xf numFmtId="0" fontId="10" fillId="0" borderId="197" xfId="2" applyFont="1" applyBorder="1" applyAlignment="1">
      <alignment horizontal="center" vertical="center" wrapText="1"/>
    </xf>
    <xf numFmtId="0" fontId="0" fillId="0" borderId="72" xfId="2" applyFont="1" applyBorder="1" applyAlignment="1">
      <alignment horizontal="center" vertical="center" shrinkToFit="1"/>
    </xf>
    <xf numFmtId="181" fontId="0" fillId="0" borderId="29" xfId="0" applyNumberFormat="1" applyFont="1" applyBorder="1" applyAlignment="1">
      <alignment vertical="center"/>
    </xf>
    <xf numFmtId="181" fontId="0" fillId="0" borderId="33" xfId="0" applyNumberFormat="1" applyFont="1" applyBorder="1" applyAlignment="1">
      <alignment vertical="center"/>
    </xf>
    <xf numFmtId="181" fontId="0" fillId="0" borderId="154" xfId="0" applyNumberFormat="1" applyFont="1" applyBorder="1" applyAlignment="1">
      <alignment vertical="center"/>
    </xf>
    <xf numFmtId="181" fontId="0" fillId="0" borderId="220" xfId="0" applyNumberFormat="1" applyFont="1" applyBorder="1" applyAlignment="1">
      <alignment horizontal="right" vertical="center"/>
    </xf>
    <xf numFmtId="177" fontId="0" fillId="0" borderId="12" xfId="0" applyNumberFormat="1" applyFill="1" applyBorder="1" applyAlignment="1">
      <alignment vertical="center"/>
    </xf>
    <xf numFmtId="181" fontId="0" fillId="0" borderId="221" xfId="0" applyNumberFormat="1" applyFont="1" applyBorder="1" applyAlignment="1">
      <alignment horizontal="right" vertical="center"/>
    </xf>
    <xf numFmtId="181" fontId="0" fillId="0" borderId="222" xfId="0" applyNumberFormat="1" applyFont="1" applyBorder="1" applyAlignment="1">
      <alignment horizontal="right" vertical="center"/>
    </xf>
    <xf numFmtId="0" fontId="0" fillId="0" borderId="224" xfId="0" applyBorder="1" applyAlignment="1">
      <alignment horizontal="center" vertical="center"/>
    </xf>
    <xf numFmtId="176" fontId="0" fillId="0" borderId="195" xfId="0" applyNumberFormat="1" applyFont="1" applyBorder="1" applyAlignment="1">
      <alignment horizontal="center" vertical="center"/>
    </xf>
    <xf numFmtId="176" fontId="0" fillId="0" borderId="27" xfId="0" applyNumberFormat="1" applyFont="1" applyBorder="1" applyAlignment="1">
      <alignment horizontal="center" vertical="center"/>
    </xf>
    <xf numFmtId="176" fontId="0" fillId="0" borderId="195" xfId="0" applyNumberFormat="1" applyFont="1" applyBorder="1" applyAlignment="1">
      <alignment vertical="center"/>
    </xf>
    <xf numFmtId="0" fontId="7" fillId="0" borderId="224" xfId="0" applyFont="1" applyBorder="1" applyAlignment="1">
      <alignment horizontal="center" vertical="center"/>
    </xf>
    <xf numFmtId="0" fontId="19" fillId="0" borderId="224" xfId="0" applyFont="1" applyBorder="1" applyAlignment="1">
      <alignment horizontal="center" vertical="center"/>
    </xf>
    <xf numFmtId="0" fontId="3" fillId="0" borderId="228" xfId="2" applyFont="1" applyBorder="1" applyAlignment="1">
      <alignment vertical="center"/>
    </xf>
    <xf numFmtId="177" fontId="0" fillId="0" borderId="11" xfId="0" applyNumberFormat="1" applyFont="1" applyFill="1" applyBorder="1" applyAlignment="1">
      <alignment vertical="center" shrinkToFit="1"/>
    </xf>
    <xf numFmtId="177" fontId="0" fillId="0" borderId="11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0" borderId="19" xfId="0" applyNumberFormat="1" applyFont="1" applyFill="1" applyBorder="1" applyAlignment="1">
      <alignment horizontal="center" vertical="center" shrinkToFit="1"/>
    </xf>
    <xf numFmtId="177" fontId="0" fillId="0" borderId="116" xfId="0" applyNumberFormat="1" applyFont="1" applyFill="1" applyBorder="1" applyAlignment="1">
      <alignment horizontal="center" vertical="center"/>
    </xf>
    <xf numFmtId="177" fontId="0" fillId="0" borderId="134" xfId="0" applyNumberFormat="1" applyFill="1" applyBorder="1" applyAlignment="1">
      <alignment vertical="center"/>
    </xf>
    <xf numFmtId="177" fontId="0" fillId="0" borderId="32" xfId="3" applyNumberFormat="1" applyFont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0" fontId="0" fillId="0" borderId="97" xfId="2" applyFont="1" applyBorder="1" applyAlignment="1">
      <alignment horizontal="left" vertical="center" wrapText="1"/>
    </xf>
    <xf numFmtId="177" fontId="0" fillId="0" borderId="224" xfId="0" applyNumberFormat="1" applyFont="1" applyFill="1" applyBorder="1" applyAlignment="1">
      <alignment vertical="center" shrinkToFit="1"/>
    </xf>
    <xf numFmtId="177" fontId="0" fillId="0" borderId="116" xfId="0" applyNumberFormat="1" applyFont="1" applyFill="1" applyBorder="1" applyAlignment="1">
      <alignment vertical="center" shrinkToFit="1"/>
    </xf>
    <xf numFmtId="177" fontId="0" fillId="0" borderId="162" xfId="0" applyNumberFormat="1" applyFill="1" applyBorder="1" applyAlignment="1">
      <alignment horizontal="center" vertical="center" shrinkToFit="1"/>
    </xf>
    <xf numFmtId="177" fontId="0" fillId="0" borderId="116" xfId="0" applyNumberFormat="1" applyFill="1" applyBorder="1" applyAlignment="1">
      <alignment horizontal="center" vertical="center" shrinkToFit="1"/>
    </xf>
    <xf numFmtId="0" fontId="0" fillId="0" borderId="241" xfId="0" applyFont="1" applyBorder="1" applyAlignment="1">
      <alignment vertical="center"/>
    </xf>
    <xf numFmtId="181" fontId="0" fillId="0" borderId="241" xfId="0" applyNumberFormat="1" applyFont="1" applyBorder="1" applyAlignment="1">
      <alignment horizontal="right" vertical="center"/>
    </xf>
    <xf numFmtId="181" fontId="0" fillId="0" borderId="231" xfId="0" applyNumberFormat="1" applyFont="1" applyBorder="1" applyAlignment="1">
      <alignment horizontal="right" vertical="center"/>
    </xf>
    <xf numFmtId="181" fontId="0" fillId="0" borderId="245" xfId="0" applyNumberFormat="1" applyFont="1" applyBorder="1" applyAlignment="1">
      <alignment vertical="center"/>
    </xf>
    <xf numFmtId="181" fontId="0" fillId="0" borderId="246" xfId="0" applyNumberFormat="1" applyFont="1" applyBorder="1" applyAlignment="1">
      <alignment vertical="center"/>
    </xf>
    <xf numFmtId="176" fontId="0" fillId="0" borderId="210" xfId="0" applyNumberFormat="1" applyFont="1" applyBorder="1" applyAlignment="1">
      <alignment vertical="center" shrinkToFit="1"/>
    </xf>
    <xf numFmtId="176" fontId="0" fillId="0" borderId="197" xfId="0" applyNumberFormat="1" applyFont="1" applyBorder="1" applyAlignment="1">
      <alignment horizontal="center" vertical="center" shrinkToFit="1"/>
    </xf>
    <xf numFmtId="176" fontId="0" fillId="0" borderId="211" xfId="0" applyNumberFormat="1" applyFont="1" applyBorder="1" applyAlignment="1">
      <alignment horizontal="center" vertical="center" shrinkToFit="1"/>
    </xf>
    <xf numFmtId="179" fontId="0" fillId="0" borderId="247" xfId="0" applyNumberFormat="1" applyFont="1" applyBorder="1" applyAlignment="1">
      <alignment horizontal="center" vertical="center" shrinkToFit="1"/>
    </xf>
    <xf numFmtId="177" fontId="0" fillId="0" borderId="210" xfId="0" applyNumberFormat="1" applyFont="1" applyBorder="1" applyAlignment="1">
      <alignment horizontal="center" vertical="center" shrinkToFit="1"/>
    </xf>
    <xf numFmtId="177" fontId="0" fillId="0" borderId="197" xfId="0" applyNumberFormat="1" applyFont="1" applyBorder="1" applyAlignment="1">
      <alignment horizontal="center" vertical="center" shrinkToFit="1"/>
    </xf>
    <xf numFmtId="177" fontId="0" fillId="0" borderId="211" xfId="0" applyNumberFormat="1" applyFont="1" applyBorder="1" applyAlignment="1">
      <alignment horizontal="center" vertical="center" shrinkToFit="1"/>
    </xf>
    <xf numFmtId="176" fontId="0" fillId="0" borderId="228" xfId="0" applyNumberFormat="1" applyFont="1" applyBorder="1" applyAlignment="1">
      <alignment vertical="center" shrinkToFit="1"/>
    </xf>
    <xf numFmtId="177" fontId="0" fillId="0" borderId="234" xfId="0" applyNumberFormat="1" applyFont="1" applyBorder="1" applyAlignment="1">
      <alignment vertical="center" shrinkToFit="1"/>
    </xf>
    <xf numFmtId="177" fontId="0" fillId="0" borderId="235" xfId="0" applyNumberFormat="1" applyFont="1" applyBorder="1" applyAlignment="1">
      <alignment vertical="center" shrinkToFit="1"/>
    </xf>
    <xf numFmtId="177" fontId="0" fillId="0" borderId="235" xfId="0" applyNumberFormat="1" applyFont="1" applyBorder="1" applyAlignment="1">
      <alignment horizontal="center" vertical="center" shrinkToFit="1"/>
    </xf>
    <xf numFmtId="177" fontId="0" fillId="0" borderId="228" xfId="0" applyNumberFormat="1" applyFont="1" applyBorder="1" applyAlignment="1">
      <alignment vertical="center" shrinkToFit="1"/>
    </xf>
    <xf numFmtId="183" fontId="0" fillId="0" borderId="116" xfId="0" applyNumberFormat="1" applyFont="1" applyBorder="1" applyAlignment="1">
      <alignment vertical="center" shrinkToFit="1"/>
    </xf>
    <xf numFmtId="176" fontId="0" fillId="2" borderId="239" xfId="0" applyNumberFormat="1" applyFont="1" applyFill="1" applyBorder="1" applyAlignment="1">
      <alignment vertical="center" shrinkToFit="1"/>
    </xf>
    <xf numFmtId="176" fontId="0" fillId="2" borderId="249" xfId="0" applyNumberFormat="1" applyFont="1" applyFill="1" applyBorder="1" applyAlignment="1">
      <alignment vertical="center" shrinkToFit="1"/>
    </xf>
    <xf numFmtId="176" fontId="0" fillId="5" borderId="239" xfId="0" applyNumberFormat="1" applyFont="1" applyFill="1" applyBorder="1" applyAlignment="1">
      <alignment horizontal="center" vertical="center" shrinkToFit="1"/>
    </xf>
    <xf numFmtId="183" fontId="0" fillId="5" borderId="239" xfId="0" applyNumberFormat="1" applyFont="1" applyFill="1" applyBorder="1" applyAlignment="1">
      <alignment vertical="center" shrinkToFit="1"/>
    </xf>
    <xf numFmtId="176" fontId="0" fillId="5" borderId="249" xfId="0" applyNumberFormat="1" applyFont="1" applyFill="1" applyBorder="1" applyAlignment="1">
      <alignment vertical="center" shrinkToFit="1"/>
    </xf>
    <xf numFmtId="183" fontId="0" fillId="5" borderId="250" xfId="0" applyNumberFormat="1" applyFont="1" applyFill="1" applyBorder="1" applyAlignment="1">
      <alignment vertical="center" shrinkToFit="1"/>
    </xf>
    <xf numFmtId="183" fontId="0" fillId="5" borderId="251" xfId="0" applyNumberFormat="1" applyFont="1" applyFill="1" applyBorder="1" applyAlignment="1">
      <alignment vertical="center" shrinkToFit="1"/>
    </xf>
    <xf numFmtId="177" fontId="0" fillId="2" borderId="252" xfId="0" applyNumberFormat="1" applyFont="1" applyFill="1" applyBorder="1" applyAlignment="1">
      <alignment vertical="center" shrinkToFit="1"/>
    </xf>
    <xf numFmtId="177" fontId="0" fillId="2" borderId="253" xfId="0" applyNumberFormat="1" applyFont="1" applyFill="1" applyBorder="1" applyAlignment="1">
      <alignment vertical="center" shrinkToFit="1"/>
    </xf>
    <xf numFmtId="177" fontId="0" fillId="2" borderId="255" xfId="0" applyNumberFormat="1" applyFont="1" applyFill="1" applyBorder="1" applyAlignment="1">
      <alignment vertical="center" shrinkToFit="1"/>
    </xf>
    <xf numFmtId="176" fontId="0" fillId="0" borderId="240" xfId="0" applyNumberFormat="1" applyFont="1" applyBorder="1" applyAlignment="1">
      <alignment vertical="center" shrinkToFit="1"/>
    </xf>
    <xf numFmtId="176" fontId="0" fillId="0" borderId="240" xfId="0" applyNumberFormat="1" applyFont="1" applyBorder="1" applyAlignment="1">
      <alignment horizontal="center" vertical="center" shrinkToFit="1"/>
    </xf>
    <xf numFmtId="177" fontId="0" fillId="0" borderId="190" xfId="0" applyNumberFormat="1" applyBorder="1" applyAlignment="1">
      <alignment horizontal="center" vertical="center" shrinkToFit="1"/>
    </xf>
    <xf numFmtId="177" fontId="0" fillId="0" borderId="235" xfId="0" applyNumberFormat="1" applyBorder="1" applyAlignment="1">
      <alignment horizontal="center" vertical="center" shrinkToFit="1"/>
    </xf>
    <xf numFmtId="177" fontId="0" fillId="0" borderId="236" xfId="0" applyNumberFormat="1" applyFont="1" applyBorder="1" applyAlignment="1">
      <alignment vertical="center" shrinkToFit="1"/>
    </xf>
    <xf numFmtId="176" fontId="0" fillId="5" borderId="243" xfId="0" applyNumberFormat="1" applyFont="1" applyFill="1" applyBorder="1" applyAlignment="1">
      <alignment horizontal="center" vertical="center" shrinkToFit="1"/>
    </xf>
    <xf numFmtId="183" fontId="0" fillId="5" borderId="243" xfId="0" applyNumberFormat="1" applyFont="1" applyFill="1" applyBorder="1" applyAlignment="1">
      <alignment vertical="center" shrinkToFit="1"/>
    </xf>
    <xf numFmtId="183" fontId="0" fillId="5" borderId="253" xfId="0" applyNumberFormat="1" applyFont="1" applyFill="1" applyBorder="1" applyAlignment="1">
      <alignment vertical="center" shrinkToFit="1"/>
    </xf>
    <xf numFmtId="183" fontId="0" fillId="5" borderId="244" xfId="0" applyNumberFormat="1" applyFont="1" applyFill="1" applyBorder="1" applyAlignment="1">
      <alignment vertical="center" shrinkToFit="1"/>
    </xf>
    <xf numFmtId="176" fontId="0" fillId="5" borderId="255" xfId="0" applyNumberFormat="1" applyFont="1" applyFill="1" applyBorder="1" applyAlignment="1">
      <alignment vertical="center" shrinkToFit="1"/>
    </xf>
    <xf numFmtId="177" fontId="0" fillId="0" borderId="150" xfId="3" applyNumberFormat="1" applyFont="1" applyBorder="1" applyAlignment="1">
      <alignment horizontal="center" vertical="center" shrinkToFit="1"/>
    </xf>
    <xf numFmtId="177" fontId="0" fillId="0" borderId="150" xfId="0" applyNumberFormat="1" applyBorder="1" applyAlignment="1">
      <alignment horizontal="center" vertical="center" shrinkToFit="1"/>
    </xf>
    <xf numFmtId="177" fontId="0" fillId="0" borderId="104" xfId="0" applyNumberFormat="1" applyFont="1" applyBorder="1" applyAlignment="1">
      <alignment horizontal="center" vertical="center" shrinkToFit="1"/>
    </xf>
    <xf numFmtId="177" fontId="0" fillId="2" borderId="252" xfId="0" applyNumberFormat="1" applyFont="1" applyFill="1" applyBorder="1" applyAlignment="1">
      <alignment horizontal="center" vertical="center" shrinkToFit="1"/>
    </xf>
    <xf numFmtId="177" fontId="0" fillId="2" borderId="243" xfId="0" applyNumberFormat="1" applyFont="1" applyFill="1" applyBorder="1" applyAlignment="1">
      <alignment vertical="center" shrinkToFit="1"/>
    </xf>
    <xf numFmtId="176" fontId="0" fillId="0" borderId="257" xfId="0" applyNumberFormat="1" applyFont="1" applyBorder="1" applyAlignment="1">
      <alignment vertical="center" shrinkToFit="1"/>
    </xf>
    <xf numFmtId="176" fontId="0" fillId="2" borderId="242" xfId="0" applyNumberFormat="1" applyFont="1" applyFill="1" applyBorder="1" applyAlignment="1">
      <alignment horizontal="center" vertical="center" shrinkToFit="1"/>
    </xf>
    <xf numFmtId="177" fontId="0" fillId="2" borderId="242" xfId="0" applyNumberFormat="1" applyFont="1" applyFill="1" applyBorder="1" applyAlignment="1">
      <alignment vertical="center" shrinkToFit="1"/>
    </xf>
    <xf numFmtId="176" fontId="0" fillId="2" borderId="258" xfId="0" applyNumberFormat="1" applyFont="1" applyFill="1" applyBorder="1" applyAlignment="1">
      <alignment vertical="center" shrinkToFit="1"/>
    </xf>
    <xf numFmtId="176" fontId="0" fillId="2" borderId="255" xfId="0" applyNumberFormat="1" applyFont="1" applyFill="1" applyBorder="1" applyAlignment="1">
      <alignment vertical="center" shrinkToFit="1"/>
    </xf>
    <xf numFmtId="176" fontId="0" fillId="0" borderId="235" xfId="0" applyNumberFormat="1" applyFont="1" applyBorder="1" applyAlignment="1">
      <alignment vertical="center" shrinkToFit="1"/>
    </xf>
    <xf numFmtId="181" fontId="0" fillId="0" borderId="29" xfId="0" applyNumberFormat="1" applyFont="1" applyBorder="1" applyAlignment="1">
      <alignment vertical="center"/>
    </xf>
    <xf numFmtId="176" fontId="0" fillId="0" borderId="116" xfId="0" applyNumberFormat="1" applyFont="1" applyBorder="1" applyAlignment="1">
      <alignment horizontal="center" vertical="center"/>
    </xf>
    <xf numFmtId="176" fontId="0" fillId="0" borderId="261" xfId="0" applyNumberFormat="1" applyFont="1" applyBorder="1" applyAlignment="1">
      <alignment horizontal="center" vertical="center"/>
    </xf>
    <xf numFmtId="176" fontId="0" fillId="0" borderId="119" xfId="0" applyNumberFormat="1" applyFont="1" applyBorder="1" applyAlignment="1">
      <alignment horizontal="center" vertical="center"/>
    </xf>
    <xf numFmtId="176" fontId="0" fillId="0" borderId="116" xfId="0" applyNumberFormat="1" applyFont="1" applyBorder="1" applyAlignment="1">
      <alignment vertical="center"/>
    </xf>
    <xf numFmtId="176" fontId="0" fillId="0" borderId="119" xfId="0" applyNumberFormat="1" applyFont="1" applyBorder="1" applyAlignment="1">
      <alignment vertical="center"/>
    </xf>
    <xf numFmtId="176" fontId="0" fillId="0" borderId="120" xfId="0" applyNumberFormat="1" applyFont="1" applyBorder="1" applyAlignment="1">
      <alignment vertical="center"/>
    </xf>
    <xf numFmtId="186" fontId="0" fillId="0" borderId="224" xfId="0" applyNumberFormat="1" applyFont="1" applyBorder="1" applyAlignment="1">
      <alignment horizontal="center" vertical="center"/>
    </xf>
    <xf numFmtId="179" fontId="0" fillId="0" borderId="261" xfId="0" applyNumberFormat="1" applyFont="1" applyBorder="1" applyAlignment="1">
      <alignment vertical="center" shrinkToFit="1"/>
    </xf>
    <xf numFmtId="179" fontId="0" fillId="0" borderId="119" xfId="0" applyNumberFormat="1" applyFont="1" applyBorder="1" applyAlignment="1">
      <alignment vertical="center" shrinkToFit="1"/>
    </xf>
    <xf numFmtId="179" fontId="0" fillId="0" borderId="262" xfId="0" applyNumberFormat="1" applyFont="1" applyBorder="1" applyAlignment="1">
      <alignment vertical="center" shrinkToFit="1"/>
    </xf>
    <xf numFmtId="176" fontId="7" fillId="0" borderId="224" xfId="0" applyNumberFormat="1" applyFont="1" applyBorder="1" applyAlignment="1">
      <alignment horizontal="center" vertical="center"/>
    </xf>
    <xf numFmtId="179" fontId="0" fillId="0" borderId="195" xfId="0" applyNumberFormat="1" applyFont="1" applyBorder="1" applyAlignment="1">
      <alignment vertical="center" shrinkToFit="1"/>
    </xf>
    <xf numFmtId="176" fontId="0" fillId="0" borderId="235" xfId="0" applyNumberFormat="1" applyBorder="1" applyAlignment="1">
      <alignment vertical="center"/>
    </xf>
    <xf numFmtId="176" fontId="0" fillId="0" borderId="235" xfId="0" applyNumberFormat="1" applyFont="1" applyBorder="1" applyAlignment="1">
      <alignment vertical="center"/>
    </xf>
    <xf numFmtId="176" fontId="0" fillId="0" borderId="250" xfId="0" applyNumberFormat="1" applyBorder="1" applyAlignment="1">
      <alignment horizontal="center" vertical="center"/>
    </xf>
    <xf numFmtId="179" fontId="0" fillId="0" borderId="243" xfId="0" applyNumberFormat="1" applyFont="1" applyBorder="1" applyAlignment="1">
      <alignment vertical="center" shrinkToFit="1"/>
    </xf>
    <xf numFmtId="179" fontId="0" fillId="0" borderId="263" xfId="0" applyNumberFormat="1" applyFont="1" applyBorder="1" applyAlignment="1">
      <alignment vertical="center" shrinkToFit="1"/>
    </xf>
    <xf numFmtId="187" fontId="0" fillId="0" borderId="243" xfId="0" applyNumberFormat="1" applyFont="1" applyBorder="1" applyAlignment="1">
      <alignment vertical="center" shrinkToFit="1"/>
    </xf>
    <xf numFmtId="187" fontId="0" fillId="0" borderId="263" xfId="0" applyNumberFormat="1" applyFont="1" applyBorder="1" applyAlignment="1">
      <alignment vertical="center" shrinkToFit="1"/>
    </xf>
    <xf numFmtId="187" fontId="0" fillId="0" borderId="255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horizontal="center" vertical="center"/>
    </xf>
    <xf numFmtId="176" fontId="0" fillId="0" borderId="223" xfId="0" applyNumberFormat="1" applyFont="1" applyBorder="1" applyAlignment="1">
      <alignment horizontal="center" vertical="center"/>
    </xf>
    <xf numFmtId="176" fontId="0" fillId="0" borderId="224" xfId="0" applyNumberFormat="1" applyFont="1" applyBorder="1" applyAlignment="1">
      <alignment horizontal="center" vertical="center"/>
    </xf>
    <xf numFmtId="176" fontId="0" fillId="0" borderId="226" xfId="0" applyNumberFormat="1" applyFont="1" applyBorder="1" applyAlignment="1">
      <alignment horizontal="center" vertical="center"/>
    </xf>
    <xf numFmtId="176" fontId="0" fillId="0" borderId="227" xfId="0" applyNumberFormat="1" applyFont="1" applyBorder="1" applyAlignment="1">
      <alignment horizontal="center" vertical="center"/>
    </xf>
    <xf numFmtId="177" fontId="0" fillId="0" borderId="116" xfId="0" applyNumberFormat="1" applyFont="1" applyFill="1" applyBorder="1" applyAlignment="1">
      <alignment horizontal="center" vertical="center" shrinkToFit="1"/>
    </xf>
    <xf numFmtId="177" fontId="0" fillId="0" borderId="236" xfId="0" applyNumberFormat="1" applyFill="1" applyBorder="1" applyAlignment="1">
      <alignment vertical="center"/>
    </xf>
    <xf numFmtId="177" fontId="19" fillId="0" borderId="119" xfId="0" applyNumberFormat="1" applyFont="1" applyFill="1" applyBorder="1" applyAlignment="1">
      <alignment vertical="center"/>
    </xf>
    <xf numFmtId="177" fontId="19" fillId="0" borderId="116" xfId="0" applyNumberFormat="1" applyFont="1" applyFill="1" applyBorder="1" applyAlignment="1">
      <alignment vertical="center"/>
    </xf>
    <xf numFmtId="181" fontId="19" fillId="0" borderId="29" xfId="0" applyNumberFormat="1" applyFont="1" applyBorder="1" applyAlignment="1">
      <alignment vertical="center"/>
    </xf>
    <xf numFmtId="177" fontId="0" fillId="0" borderId="11" xfId="0" quotePrefix="1" applyNumberFormat="1" applyFill="1" applyBorder="1" applyAlignment="1">
      <alignment vertical="center"/>
    </xf>
    <xf numFmtId="177" fontId="0" fillId="0" borderId="264" xfId="0" applyNumberFormat="1" applyFont="1" applyBorder="1" applyAlignment="1">
      <alignment vertical="center"/>
    </xf>
    <xf numFmtId="177" fontId="0" fillId="0" borderId="1" xfId="0" quotePrefix="1" applyNumberFormat="1" applyFill="1" applyBorder="1" applyAlignment="1">
      <alignment vertical="center"/>
    </xf>
    <xf numFmtId="0" fontId="0" fillId="0" borderId="242" xfId="0" applyFont="1" applyBorder="1" applyAlignment="1">
      <alignment vertical="center"/>
    </xf>
    <xf numFmtId="0" fontId="0" fillId="0" borderId="201" xfId="0" applyFont="1" applyFill="1" applyBorder="1" applyAlignment="1">
      <alignment vertical="center"/>
    </xf>
    <xf numFmtId="186" fontId="0" fillId="0" borderId="21" xfId="0" applyNumberFormat="1" applyFont="1" applyBorder="1" applyAlignment="1">
      <alignment vertical="center"/>
    </xf>
    <xf numFmtId="177" fontId="0" fillId="0" borderId="195" xfId="0" applyNumberFormat="1" applyFont="1" applyFill="1" applyBorder="1" applyAlignment="1">
      <alignment vertical="center" shrinkToFit="1"/>
    </xf>
    <xf numFmtId="182" fontId="0" fillId="0" borderId="139" xfId="0" applyNumberFormat="1" applyFont="1" applyFill="1" applyBorder="1" applyAlignment="1">
      <alignment vertical="center"/>
    </xf>
    <xf numFmtId="177" fontId="0" fillId="0" borderId="139" xfId="0" applyNumberFormat="1" applyFont="1" applyBorder="1" applyAlignment="1">
      <alignment vertical="center"/>
    </xf>
    <xf numFmtId="177" fontId="0" fillId="0" borderId="140" xfId="0" applyNumberFormat="1" applyBorder="1" applyAlignment="1">
      <alignment vertical="center"/>
    </xf>
    <xf numFmtId="181" fontId="0" fillId="0" borderId="116" xfId="0" applyNumberFormat="1" applyFont="1" applyFill="1" applyBorder="1" applyAlignment="1">
      <alignment vertical="center" shrinkToFit="1"/>
    </xf>
    <xf numFmtId="177" fontId="0" fillId="0" borderId="189" xfId="0" applyNumberFormat="1" applyFont="1" applyBorder="1" applyAlignment="1">
      <alignment vertical="center"/>
    </xf>
    <xf numFmtId="177" fontId="0" fillId="0" borderId="162" xfId="0" applyNumberForma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vertical="center" shrinkToFit="1"/>
    </xf>
    <xf numFmtId="177" fontId="0" fillId="0" borderId="147" xfId="0" applyNumberFormat="1" applyFont="1" applyBorder="1" applyAlignment="1">
      <alignment vertical="center" shrinkToFit="1"/>
    </xf>
    <xf numFmtId="177" fontId="0" fillId="0" borderId="9" xfId="0" applyNumberFormat="1" applyFont="1" applyBorder="1" applyAlignment="1">
      <alignment vertical="center" shrinkToFit="1"/>
    </xf>
    <xf numFmtId="177" fontId="0" fillId="2" borderId="9" xfId="0" applyNumberFormat="1" applyFont="1" applyFill="1" applyBorder="1" applyAlignment="1">
      <alignment horizontal="center" vertical="center" shrinkToFit="1"/>
    </xf>
    <xf numFmtId="177" fontId="0" fillId="2" borderId="239" xfId="0" applyNumberFormat="1" applyFont="1" applyFill="1" applyBorder="1" applyAlignment="1">
      <alignment vertical="center" shrinkToFit="1"/>
    </xf>
    <xf numFmtId="178" fontId="0" fillId="2" borderId="239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/>
    </xf>
    <xf numFmtId="176" fontId="0" fillId="0" borderId="53" xfId="0" applyNumberFormat="1" applyFont="1" applyFill="1" applyBorder="1" applyAlignment="1">
      <alignment vertical="center"/>
    </xf>
    <xf numFmtId="177" fontId="0" fillId="0" borderId="127" xfId="3" applyNumberFormat="1" applyFont="1" applyFill="1" applyBorder="1" applyAlignment="1">
      <alignment vertical="center" shrinkToFit="1"/>
    </xf>
    <xf numFmtId="176" fontId="0" fillId="0" borderId="127" xfId="0" applyNumberFormat="1" applyFont="1" applyFill="1" applyBorder="1" applyAlignment="1">
      <alignment vertical="center"/>
    </xf>
    <xf numFmtId="176" fontId="0" fillId="0" borderId="128" xfId="0" applyNumberFormat="1" applyFont="1" applyFill="1" applyBorder="1" applyAlignment="1">
      <alignment vertical="center"/>
    </xf>
    <xf numFmtId="176" fontId="0" fillId="0" borderId="127" xfId="3" applyNumberFormat="1" applyFont="1" applyFill="1" applyBorder="1" applyAlignment="1">
      <alignment vertical="center" shrinkToFit="1"/>
    </xf>
    <xf numFmtId="176" fontId="0" fillId="0" borderId="131" xfId="0" applyNumberFormat="1" applyFont="1" applyFill="1" applyBorder="1" applyAlignment="1">
      <alignment vertical="center"/>
    </xf>
    <xf numFmtId="3" fontId="3" fillId="0" borderId="21" xfId="5" applyNumberFormat="1" applyFont="1" applyFill="1" applyBorder="1" applyAlignment="1">
      <alignment vertical="center" shrinkToFit="1"/>
    </xf>
    <xf numFmtId="177" fontId="3" fillId="0" borderId="21" xfId="3" applyNumberFormat="1" applyFont="1" applyBorder="1" applyAlignment="1">
      <alignment vertical="center" shrinkToFit="1"/>
    </xf>
    <xf numFmtId="9" fontId="3" fillId="0" borderId="21" xfId="3" applyNumberFormat="1" applyFont="1" applyFill="1" applyBorder="1" applyAlignment="1">
      <alignment vertical="center" shrinkToFit="1"/>
    </xf>
    <xf numFmtId="176" fontId="3" fillId="0" borderId="53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 shrinkToFit="1"/>
    </xf>
    <xf numFmtId="176" fontId="3" fillId="0" borderId="53" xfId="0" applyNumberFormat="1" applyFont="1" applyBorder="1" applyAlignment="1">
      <alignment vertical="center" shrinkToFit="1"/>
    </xf>
    <xf numFmtId="177" fontId="3" fillId="2" borderId="45" xfId="3" applyNumberFormat="1" applyFont="1" applyFill="1" applyBorder="1" applyAlignment="1">
      <alignment horizontal="center" vertical="center" shrinkToFit="1"/>
    </xf>
    <xf numFmtId="177" fontId="3" fillId="2" borderId="45" xfId="3" applyNumberFormat="1" applyFont="1" applyFill="1" applyBorder="1" applyAlignment="1">
      <alignment vertical="center" shrinkToFit="1"/>
    </xf>
    <xf numFmtId="176" fontId="3" fillId="5" borderId="125" xfId="0" applyNumberFormat="1" applyFont="1" applyFill="1" applyBorder="1" applyAlignment="1">
      <alignment vertical="center"/>
    </xf>
    <xf numFmtId="177" fontId="3" fillId="0" borderId="21" xfId="3" applyNumberFormat="1" applyFont="1" applyFill="1" applyBorder="1" applyAlignment="1">
      <alignment vertical="center" shrinkToFit="1"/>
    </xf>
    <xf numFmtId="177" fontId="3" fillId="2" borderId="242" xfId="3" applyNumberFormat="1" applyFont="1" applyFill="1" applyBorder="1" applyAlignment="1">
      <alignment horizontal="center" vertical="center" shrinkToFit="1"/>
    </xf>
    <xf numFmtId="177" fontId="3" fillId="2" borderId="242" xfId="3" applyNumberFormat="1" applyFont="1" applyFill="1" applyBorder="1" applyAlignment="1">
      <alignment vertical="center" shrinkToFit="1"/>
    </xf>
    <xf numFmtId="176" fontId="3" fillId="5" borderId="258" xfId="0" applyNumberFormat="1" applyFont="1" applyFill="1" applyBorder="1" applyAlignment="1">
      <alignment vertical="center"/>
    </xf>
    <xf numFmtId="186" fontId="0" fillId="0" borderId="44" xfId="0" applyNumberFormat="1" applyFont="1" applyBorder="1" applyAlignment="1">
      <alignment horizontal="center" vertical="center"/>
    </xf>
    <xf numFmtId="186" fontId="7" fillId="0" borderId="44" xfId="0" applyNumberFormat="1" applyFont="1" applyBorder="1" applyAlignment="1">
      <alignment horizontal="center" vertical="center"/>
    </xf>
    <xf numFmtId="38" fontId="0" fillId="0" borderId="2" xfId="1" applyFont="1" applyBorder="1" applyAlignment="1">
      <alignment vertical="center" shrinkToFit="1"/>
    </xf>
    <xf numFmtId="38" fontId="0" fillId="0" borderId="59" xfId="1" applyFont="1" applyBorder="1" applyAlignment="1">
      <alignment vertical="center" shrinkToFit="1"/>
    </xf>
    <xf numFmtId="177" fontId="0" fillId="0" borderId="116" xfId="0" quotePrefix="1" applyNumberFormat="1" applyFill="1" applyBorder="1" applyAlignment="1">
      <alignment vertical="center"/>
    </xf>
    <xf numFmtId="177" fontId="19" fillId="0" borderId="116" xfId="0" quotePrefix="1" applyNumberFormat="1" applyFont="1" applyFill="1" applyBorder="1" applyAlignment="1">
      <alignment vertical="center"/>
    </xf>
    <xf numFmtId="0" fontId="0" fillId="0" borderId="134" xfId="2" applyFont="1" applyBorder="1" applyAlignment="1">
      <alignment horizontal="center" vertical="center" wrapText="1"/>
    </xf>
    <xf numFmtId="181" fontId="0" fillId="0" borderId="29" xfId="0" applyNumberFormat="1" applyFont="1" applyBorder="1" applyAlignment="1">
      <alignment vertical="center"/>
    </xf>
    <xf numFmtId="0" fontId="0" fillId="0" borderId="44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92" xfId="0" applyBorder="1" applyAlignment="1">
      <alignment horizontal="left" vertical="center" wrapText="1"/>
    </xf>
    <xf numFmtId="182" fontId="0" fillId="0" borderId="33" xfId="4" applyNumberFormat="1" applyFont="1" applyBorder="1" applyAlignment="1">
      <alignment vertical="center"/>
    </xf>
    <xf numFmtId="182" fontId="0" fillId="0" borderId="245" xfId="4" applyNumberFormat="1" applyFont="1" applyBorder="1" applyAlignment="1">
      <alignment vertical="center"/>
    </xf>
    <xf numFmtId="0" fontId="0" fillId="0" borderId="13" xfId="3" applyFont="1" applyFill="1" applyBorder="1" applyAlignment="1">
      <alignment vertical="center" shrinkToFit="1"/>
    </xf>
    <xf numFmtId="0" fontId="10" fillId="0" borderId="72" xfId="2" applyFont="1" applyBorder="1" applyAlignment="1">
      <alignment horizontal="center" vertical="center" wrapText="1"/>
    </xf>
    <xf numFmtId="0" fontId="10" fillId="0" borderId="197" xfId="2" applyFont="1" applyBorder="1" applyAlignment="1">
      <alignment horizontal="center" vertical="center" wrapText="1"/>
    </xf>
    <xf numFmtId="176" fontId="6" fillId="0" borderId="60" xfId="0" applyNumberFormat="1" applyFont="1" applyBorder="1" applyAlignment="1">
      <alignment horizontal="center" vertical="center" textRotation="255" wrapText="1"/>
    </xf>
    <xf numFmtId="0" fontId="0" fillId="0" borderId="60" xfId="0" applyBorder="1" applyAlignment="1">
      <alignment horizontal="center" vertical="center" textRotation="255" wrapText="1"/>
    </xf>
    <xf numFmtId="189" fontId="0" fillId="0" borderId="10" xfId="0" applyNumberFormat="1" applyFont="1" applyBorder="1" applyAlignment="1">
      <alignment vertical="center" shrinkToFit="1"/>
    </xf>
    <xf numFmtId="189" fontId="0" fillId="0" borderId="145" xfId="0" applyNumberFormat="1" applyFont="1" applyBorder="1" applyAlignment="1">
      <alignment vertical="center" shrinkToFit="1"/>
    </xf>
    <xf numFmtId="189" fontId="15" fillId="0" borderId="145" xfId="0" applyNumberFormat="1" applyFont="1" applyBorder="1" applyAlignment="1">
      <alignment vertical="center" shrinkToFit="1"/>
    </xf>
    <xf numFmtId="189" fontId="0" fillId="0" borderId="146" xfId="0" applyNumberFormat="1" applyFont="1" applyBorder="1" applyAlignment="1">
      <alignment vertical="center" shrinkToFit="1"/>
    </xf>
    <xf numFmtId="181" fontId="0" fillId="0" borderId="33" xfId="0" applyNumberFormat="1" applyFont="1" applyFill="1" applyBorder="1" applyAlignment="1">
      <alignment vertical="center"/>
    </xf>
    <xf numFmtId="182" fontId="0" fillId="0" borderId="119" xfId="0" applyNumberFormat="1" applyFont="1" applyFill="1" applyBorder="1" applyAlignment="1">
      <alignment vertical="center"/>
    </xf>
    <xf numFmtId="0" fontId="0" fillId="0" borderId="72" xfId="0" applyBorder="1" applyAlignment="1">
      <alignment horizontal="left" vertical="center" wrapText="1"/>
    </xf>
    <xf numFmtId="0" fontId="10" fillId="0" borderId="135" xfId="2" applyFont="1" applyBorder="1" applyAlignment="1">
      <alignment horizontal="left" vertical="center" wrapText="1"/>
    </xf>
    <xf numFmtId="0" fontId="0" fillId="0" borderId="135" xfId="2" applyFont="1" applyBorder="1" applyAlignment="1">
      <alignment horizontal="left" vertical="center" wrapText="1"/>
    </xf>
    <xf numFmtId="0" fontId="3" fillId="0" borderId="135" xfId="2" applyFont="1" applyBorder="1" applyAlignment="1">
      <alignment horizontal="left" vertical="center" wrapText="1"/>
    </xf>
    <xf numFmtId="0" fontId="0" fillId="0" borderId="136" xfId="2" applyFont="1" applyBorder="1" applyAlignment="1">
      <alignment horizontal="left" vertical="center" wrapText="1"/>
    </xf>
    <xf numFmtId="0" fontId="0" fillId="0" borderId="72" xfId="2" applyFont="1" applyBorder="1" applyAlignment="1">
      <alignment horizontal="left" vertical="center" wrapText="1"/>
    </xf>
    <xf numFmtId="0" fontId="3" fillId="0" borderId="72" xfId="2" applyFont="1" applyBorder="1" applyAlignment="1">
      <alignment horizontal="left" vertical="center" wrapText="1"/>
    </xf>
    <xf numFmtId="0" fontId="10" fillId="0" borderId="90" xfId="2" applyFont="1" applyBorder="1" applyAlignment="1">
      <alignment horizontal="left" vertical="center" wrapText="1"/>
    </xf>
    <xf numFmtId="0" fontId="0" fillId="0" borderId="90" xfId="2" applyFont="1" applyBorder="1" applyAlignment="1">
      <alignment horizontal="left" vertical="center" wrapText="1"/>
    </xf>
    <xf numFmtId="0" fontId="3" fillId="0" borderId="90" xfId="2" applyFont="1" applyBorder="1" applyAlignment="1">
      <alignment horizontal="left" vertical="center" wrapText="1"/>
    </xf>
    <xf numFmtId="0" fontId="10" fillId="0" borderId="134" xfId="2" applyFont="1" applyBorder="1" applyAlignment="1">
      <alignment horizontal="left" vertical="center" wrapText="1"/>
    </xf>
    <xf numFmtId="0" fontId="3" fillId="0" borderId="61" xfId="2" applyFont="1" applyBorder="1" applyAlignment="1">
      <alignment horizontal="left" vertical="center" wrapText="1"/>
    </xf>
    <xf numFmtId="0" fontId="0" fillId="0" borderId="182" xfId="2" applyFont="1" applyBorder="1" applyAlignment="1">
      <alignment vertical="center" wrapText="1"/>
    </xf>
    <xf numFmtId="0" fontId="0" fillId="0" borderId="160" xfId="0" applyBorder="1" applyAlignment="1">
      <alignment vertical="center" wrapText="1"/>
    </xf>
    <xf numFmtId="0" fontId="0" fillId="0" borderId="207" xfId="0" applyBorder="1" applyAlignment="1">
      <alignment vertical="center" wrapText="1"/>
    </xf>
    <xf numFmtId="0" fontId="0" fillId="0" borderId="17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8" xfId="0" applyBorder="1" applyAlignment="1">
      <alignment vertical="center" wrapText="1"/>
    </xf>
    <xf numFmtId="0" fontId="0" fillId="0" borderId="175" xfId="0" applyBorder="1" applyAlignment="1">
      <alignment vertical="center" wrapText="1"/>
    </xf>
    <xf numFmtId="0" fontId="0" fillId="0" borderId="179" xfId="0" applyBorder="1" applyAlignment="1">
      <alignment vertical="center" wrapText="1"/>
    </xf>
    <xf numFmtId="0" fontId="0" fillId="0" borderId="180" xfId="0" applyBorder="1" applyAlignment="1">
      <alignment vertical="center" wrapText="1"/>
    </xf>
    <xf numFmtId="0" fontId="3" fillId="0" borderId="80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0" fillId="0" borderId="42" xfId="2" applyFont="1" applyBorder="1" applyAlignment="1">
      <alignment vertical="center" wrapText="1"/>
    </xf>
    <xf numFmtId="0" fontId="3" fillId="0" borderId="42" xfId="2" applyFont="1" applyBorder="1" applyAlignment="1">
      <alignment vertical="center" wrapText="1"/>
    </xf>
    <xf numFmtId="0" fontId="3" fillId="0" borderId="55" xfId="2" applyFont="1" applyBorder="1" applyAlignment="1">
      <alignment vertical="center" wrapText="1"/>
    </xf>
    <xf numFmtId="0" fontId="0" fillId="0" borderId="229" xfId="2" applyFont="1" applyBorder="1" applyAlignment="1">
      <alignment horizontal="center" vertical="center" wrapText="1"/>
    </xf>
    <xf numFmtId="0" fontId="0" fillId="0" borderId="230" xfId="0" applyBorder="1" applyAlignment="1">
      <alignment horizontal="center" vertical="center" wrapText="1"/>
    </xf>
    <xf numFmtId="0" fontId="0" fillId="0" borderId="231" xfId="0" applyBorder="1" applyAlignment="1">
      <alignment horizontal="center" vertical="center" wrapText="1"/>
    </xf>
    <xf numFmtId="0" fontId="0" fillId="0" borderId="1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2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209" xfId="0" applyBorder="1" applyAlignment="1">
      <alignment horizontal="center" vertical="center" wrapText="1"/>
    </xf>
    <xf numFmtId="0" fontId="0" fillId="0" borderId="232" xfId="0" applyBorder="1" applyAlignment="1">
      <alignment vertical="center" wrapText="1"/>
    </xf>
    <xf numFmtId="0" fontId="0" fillId="0" borderId="230" xfId="0" applyBorder="1" applyAlignment="1">
      <alignment vertical="center" wrapText="1"/>
    </xf>
    <xf numFmtId="0" fontId="0" fillId="0" borderId="233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153" xfId="0" applyBorder="1" applyAlignment="1">
      <alignment vertical="center" wrapText="1"/>
    </xf>
    <xf numFmtId="0" fontId="10" fillId="0" borderId="51" xfId="2" applyFont="1" applyBorder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10" fillId="0" borderId="195" xfId="2" applyFont="1" applyBorder="1" applyAlignment="1">
      <alignment horizontal="left" vertical="center" indent="1"/>
    </xf>
    <xf numFmtId="0" fontId="10" fillId="0" borderId="0" xfId="2" applyFont="1" applyBorder="1" applyAlignment="1">
      <alignment horizontal="left" vertical="center" indent="1"/>
    </xf>
    <xf numFmtId="0" fontId="10" fillId="0" borderId="0" xfId="2" applyFont="1" applyBorder="1" applyAlignment="1">
      <alignment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10" fillId="0" borderId="73" xfId="2" applyFont="1" applyBorder="1" applyAlignment="1">
      <alignment horizontal="center" vertical="center" wrapText="1"/>
    </xf>
    <xf numFmtId="0" fontId="10" fillId="0" borderId="74" xfId="2" applyFont="1" applyBorder="1" applyAlignment="1">
      <alignment horizontal="center" vertical="center" wrapText="1"/>
    </xf>
    <xf numFmtId="0" fontId="10" fillId="0" borderId="75" xfId="2" applyFont="1" applyBorder="1" applyAlignment="1">
      <alignment horizontal="center" vertical="center" wrapText="1"/>
    </xf>
    <xf numFmtId="0" fontId="3" fillId="0" borderId="76" xfId="2" applyFont="1" applyBorder="1" applyAlignment="1">
      <alignment horizontal="center" vertical="center"/>
    </xf>
    <xf numFmtId="0" fontId="3" fillId="0" borderId="77" xfId="2" applyFont="1" applyBorder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3" fillId="0" borderId="200" xfId="2" applyFont="1" applyBorder="1" applyAlignment="1">
      <alignment horizontal="center" vertical="center"/>
    </xf>
    <xf numFmtId="0" fontId="3" fillId="0" borderId="201" xfId="2" applyFont="1" applyBorder="1" applyAlignment="1">
      <alignment horizontal="center" vertical="center"/>
    </xf>
    <xf numFmtId="0" fontId="0" fillId="0" borderId="201" xfId="2" applyFont="1" applyBorder="1" applyAlignment="1">
      <alignment vertical="center" wrapText="1"/>
    </xf>
    <xf numFmtId="0" fontId="3" fillId="0" borderId="201" xfId="2" applyFont="1" applyBorder="1" applyAlignment="1">
      <alignment vertical="center" wrapText="1"/>
    </xf>
    <xf numFmtId="0" fontId="3" fillId="0" borderId="202" xfId="2" applyFont="1" applyBorder="1" applyAlignment="1">
      <alignment vertical="center" wrapText="1"/>
    </xf>
    <xf numFmtId="0" fontId="0" fillId="0" borderId="176" xfId="2" applyFont="1" applyBorder="1" applyAlignment="1">
      <alignment horizontal="center" vertical="center"/>
    </xf>
    <xf numFmtId="0" fontId="0" fillId="0" borderId="203" xfId="2" applyFont="1" applyBorder="1" applyAlignment="1">
      <alignment vertical="center" wrapText="1"/>
    </xf>
    <xf numFmtId="0" fontId="3" fillId="0" borderId="204" xfId="2" applyFont="1" applyBorder="1" applyAlignment="1">
      <alignment vertical="center" wrapText="1"/>
    </xf>
    <xf numFmtId="0" fontId="3" fillId="0" borderId="205" xfId="2" applyFont="1" applyBorder="1" applyAlignment="1">
      <alignment vertical="center" wrapText="1"/>
    </xf>
    <xf numFmtId="0" fontId="3" fillId="0" borderId="79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0" fillId="0" borderId="21" xfId="2" applyFont="1" applyBorder="1" applyAlignment="1">
      <alignment vertical="center" wrapText="1"/>
    </xf>
    <xf numFmtId="0" fontId="3" fillId="0" borderId="21" xfId="2" applyFont="1" applyBorder="1" applyAlignment="1">
      <alignment vertical="center" wrapText="1"/>
    </xf>
    <xf numFmtId="0" fontId="3" fillId="0" borderId="53" xfId="2" applyFont="1" applyBorder="1" applyAlignment="1">
      <alignment vertical="center" wrapText="1"/>
    </xf>
    <xf numFmtId="0" fontId="0" fillId="0" borderId="232" xfId="2" applyFont="1" applyBorder="1" applyAlignment="1">
      <alignment vertical="center" wrapText="1"/>
    </xf>
    <xf numFmtId="0" fontId="3" fillId="0" borderId="206" xfId="2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10" fillId="0" borderId="190" xfId="2" applyFont="1" applyBorder="1" applyAlignment="1">
      <alignment horizontal="center" vertical="center" wrapText="1"/>
    </xf>
    <xf numFmtId="0" fontId="10" fillId="0" borderId="189" xfId="2" applyFont="1" applyBorder="1" applyAlignment="1">
      <alignment horizontal="center" vertical="center" wrapText="1"/>
    </xf>
    <xf numFmtId="0" fontId="10" fillId="0" borderId="191" xfId="2" applyFont="1" applyBorder="1" applyAlignment="1">
      <alignment horizontal="center" vertical="center" wrapText="1"/>
    </xf>
    <xf numFmtId="0" fontId="10" fillId="0" borderId="192" xfId="2" applyFont="1" applyBorder="1" applyAlignment="1">
      <alignment horizontal="center" vertical="center" wrapText="1"/>
    </xf>
    <xf numFmtId="0" fontId="10" fillId="0" borderId="134" xfId="2" applyFont="1" applyBorder="1" applyAlignment="1">
      <alignment horizontal="left" vertical="center" indent="1" shrinkToFit="1"/>
    </xf>
    <xf numFmtId="0" fontId="10" fillId="0" borderId="139" xfId="2" applyFont="1" applyBorder="1" applyAlignment="1">
      <alignment horizontal="left" vertical="center" indent="1" shrinkToFit="1"/>
    </xf>
    <xf numFmtId="0" fontId="10" fillId="0" borderId="44" xfId="2" applyFont="1" applyBorder="1" applyAlignment="1">
      <alignment horizontal="left" vertical="center" indent="1" shrinkToFit="1"/>
    </xf>
    <xf numFmtId="0" fontId="10" fillId="0" borderId="134" xfId="2" applyFont="1" applyBorder="1" applyAlignment="1">
      <alignment horizontal="left" vertical="center" wrapText="1" indent="1"/>
    </xf>
    <xf numFmtId="0" fontId="10" fillId="0" borderId="139" xfId="2" applyFont="1" applyBorder="1" applyAlignment="1">
      <alignment horizontal="left" vertical="center" wrapText="1" indent="1"/>
    </xf>
    <xf numFmtId="0" fontId="10" fillId="0" borderId="199" xfId="2" applyFont="1" applyBorder="1" applyAlignment="1">
      <alignment horizontal="center" vertical="center" wrapText="1"/>
    </xf>
    <xf numFmtId="0" fontId="10" fillId="0" borderId="198" xfId="2" applyFont="1" applyBorder="1" applyAlignment="1">
      <alignment horizontal="center" vertical="center" wrapText="1"/>
    </xf>
    <xf numFmtId="0" fontId="10" fillId="0" borderId="196" xfId="2" applyFont="1" applyBorder="1" applyAlignment="1">
      <alignment horizontal="center" vertical="center" textRotation="255" shrinkToFit="1"/>
    </xf>
    <xf numFmtId="0" fontId="10" fillId="0" borderId="50" xfId="2" applyFont="1" applyBorder="1" applyAlignment="1">
      <alignment horizontal="center" vertical="center" textRotation="255" shrinkToFit="1"/>
    </xf>
    <xf numFmtId="0" fontId="10" fillId="0" borderId="16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71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0" fontId="3" fillId="0" borderId="134" xfId="2" applyFont="1" applyBorder="1" applyAlignment="1">
      <alignment horizontal="center" vertical="center" wrapText="1"/>
    </xf>
    <xf numFmtId="0" fontId="10" fillId="0" borderId="134" xfId="2" applyFont="1" applyBorder="1" applyAlignment="1">
      <alignment vertical="center" wrapText="1"/>
    </xf>
    <xf numFmtId="0" fontId="10" fillId="0" borderId="139" xfId="2" applyFont="1" applyBorder="1" applyAlignment="1">
      <alignment vertical="center" wrapText="1"/>
    </xf>
    <xf numFmtId="0" fontId="10" fillId="0" borderId="134" xfId="2" applyFont="1" applyBorder="1" applyAlignment="1">
      <alignment horizontal="center" vertical="center" wrapText="1"/>
    </xf>
    <xf numFmtId="0" fontId="10" fillId="0" borderId="139" xfId="2" applyFont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 wrapText="1"/>
    </xf>
    <xf numFmtId="0" fontId="3" fillId="0" borderId="134" xfId="2" applyFont="1" applyBorder="1" applyAlignment="1">
      <alignment horizontal="left" vertical="center" wrapText="1"/>
    </xf>
    <xf numFmtId="0" fontId="3" fillId="0" borderId="139" xfId="2" applyFont="1" applyBorder="1" applyAlignment="1">
      <alignment horizontal="left" vertical="center" wrapText="1"/>
    </xf>
    <xf numFmtId="0" fontId="3" fillId="0" borderId="44" xfId="2" applyFont="1" applyBorder="1" applyAlignment="1">
      <alignment horizontal="left" vertical="center" wrapText="1"/>
    </xf>
    <xf numFmtId="0" fontId="10" fillId="0" borderId="140" xfId="2" applyFont="1" applyBorder="1" applyAlignment="1">
      <alignment horizontal="center" vertical="center" wrapText="1"/>
    </xf>
    <xf numFmtId="0" fontId="10" fillId="0" borderId="194" xfId="2" applyFont="1" applyBorder="1" applyAlignment="1">
      <alignment horizontal="center" vertical="center" wrapText="1"/>
    </xf>
    <xf numFmtId="0" fontId="3" fillId="0" borderId="194" xfId="2" applyFont="1" applyBorder="1" applyAlignment="1">
      <alignment horizontal="center" vertical="center" wrapText="1"/>
    </xf>
    <xf numFmtId="0" fontId="3" fillId="0" borderId="195" xfId="2" applyFont="1" applyBorder="1" applyAlignment="1">
      <alignment horizontal="center" vertical="center" wrapText="1"/>
    </xf>
    <xf numFmtId="0" fontId="10" fillId="0" borderId="17" xfId="2" applyFont="1" applyBorder="1" applyAlignment="1">
      <alignment vertical="center" wrapText="1"/>
    </xf>
    <xf numFmtId="0" fontId="10" fillId="0" borderId="16" xfId="2" applyFont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3" fillId="0" borderId="93" xfId="2" applyFont="1" applyBorder="1" applyAlignment="1">
      <alignment horizontal="left" vertical="center" wrapText="1"/>
    </xf>
    <xf numFmtId="0" fontId="10" fillId="0" borderId="113" xfId="2" applyFont="1" applyBorder="1" applyAlignment="1">
      <alignment horizontal="center" vertical="center" wrapText="1"/>
    </xf>
    <xf numFmtId="0" fontId="10" fillId="0" borderId="92" xfId="2" applyFont="1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0" fontId="0" fillId="0" borderId="193" xfId="0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66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0" fillId="0" borderId="134" xfId="2" applyFont="1" applyBorder="1" applyAlignment="1">
      <alignment horizontal="left" vertical="center" wrapText="1"/>
    </xf>
    <xf numFmtId="0" fontId="10" fillId="0" borderId="81" xfId="0" quotePrefix="1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184" xfId="0" applyFont="1" applyBorder="1" applyAlignment="1">
      <alignment horizontal="center" vertical="center" shrinkToFit="1"/>
    </xf>
    <xf numFmtId="0" fontId="10" fillId="0" borderId="185" xfId="0" applyFont="1" applyBorder="1" applyAlignment="1">
      <alignment horizontal="center" vertical="center" shrinkToFit="1"/>
    </xf>
    <xf numFmtId="0" fontId="10" fillId="0" borderId="187" xfId="0" applyFont="1" applyBorder="1" applyAlignment="1">
      <alignment horizontal="center" vertical="center" shrinkToFit="1"/>
    </xf>
    <xf numFmtId="0" fontId="3" fillId="0" borderId="184" xfId="0" applyFont="1" applyBorder="1" applyAlignment="1">
      <alignment horizontal="center" vertical="center" shrinkToFit="1"/>
    </xf>
    <xf numFmtId="0" fontId="3" fillId="0" borderId="187" xfId="0" applyFont="1" applyBorder="1" applyAlignment="1">
      <alignment horizontal="center" vertical="center" shrinkToFit="1"/>
    </xf>
    <xf numFmtId="0" fontId="3" fillId="0" borderId="185" xfId="0" applyFont="1" applyBorder="1" applyAlignment="1">
      <alignment horizontal="center" vertical="center" shrinkToFit="1"/>
    </xf>
    <xf numFmtId="0" fontId="10" fillId="0" borderId="186" xfId="0" applyFont="1" applyBorder="1" applyAlignment="1">
      <alignment horizontal="center" vertical="center" shrinkToFit="1"/>
    </xf>
    <xf numFmtId="0" fontId="3" fillId="0" borderId="186" xfId="0" applyFont="1" applyBorder="1" applyAlignment="1">
      <alignment horizontal="center" vertical="center" shrinkToFit="1"/>
    </xf>
    <xf numFmtId="0" fontId="10" fillId="0" borderId="188" xfId="2" applyFont="1" applyBorder="1" applyAlignment="1">
      <alignment horizontal="center" vertical="center" wrapText="1"/>
    </xf>
    <xf numFmtId="0" fontId="0" fillId="0" borderId="190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91" xfId="2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9" xfId="0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3" fillId="0" borderId="67" xfId="2" applyFont="1" applyBorder="1" applyAlignment="1">
      <alignment horizontal="center" vertical="center"/>
    </xf>
    <xf numFmtId="0" fontId="3" fillId="0" borderId="68" xfId="2" applyFont="1" applyBorder="1" applyAlignment="1">
      <alignment horizontal="center" vertical="center"/>
    </xf>
    <xf numFmtId="0" fontId="10" fillId="0" borderId="210" xfId="2" applyFont="1" applyBorder="1" applyAlignment="1">
      <alignment horizontal="center" vertical="center" wrapText="1"/>
    </xf>
    <xf numFmtId="0" fontId="10" fillId="0" borderId="197" xfId="2" applyFont="1" applyBorder="1" applyAlignment="1">
      <alignment horizontal="center" vertical="center" wrapText="1"/>
    </xf>
    <xf numFmtId="0" fontId="10" fillId="0" borderId="71" xfId="2" applyFont="1" applyBorder="1" applyAlignment="1">
      <alignment horizontal="center" vertical="center" textRotation="255" wrapText="1"/>
    </xf>
    <xf numFmtId="0" fontId="0" fillId="0" borderId="134" xfId="2" applyFont="1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" fillId="0" borderId="60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10" fillId="0" borderId="88" xfId="2" applyFont="1" applyBorder="1" applyAlignment="1">
      <alignment horizontal="center" vertical="center" wrapText="1"/>
    </xf>
    <xf numFmtId="0" fontId="10" fillId="0" borderId="49" xfId="2" applyFont="1" applyBorder="1" applyAlignment="1">
      <alignment horizontal="center" vertical="center" wrapText="1"/>
    </xf>
    <xf numFmtId="0" fontId="0" fillId="6" borderId="83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  <xf numFmtId="0" fontId="0" fillId="0" borderId="133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06" xfId="0" applyFont="1" applyFill="1" applyBorder="1" applyAlignment="1">
      <alignment vertical="center"/>
    </xf>
    <xf numFmtId="0" fontId="0" fillId="4" borderId="48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4" borderId="181" xfId="0" applyFont="1" applyFill="1" applyBorder="1" applyAlignment="1">
      <alignment horizontal="center" vertical="center" wrapText="1"/>
    </xf>
    <xf numFmtId="0" fontId="0" fillId="4" borderId="37" xfId="0" applyFont="1" applyFill="1" applyBorder="1" applyAlignment="1">
      <alignment horizontal="center" vertical="center" wrapText="1"/>
    </xf>
    <xf numFmtId="0" fontId="0" fillId="4" borderId="177" xfId="0" applyFont="1" applyFill="1" applyBorder="1" applyAlignment="1">
      <alignment horizontal="center" vertical="center" wrapText="1"/>
    </xf>
    <xf numFmtId="0" fontId="0" fillId="4" borderId="106" xfId="0" applyFont="1" applyFill="1" applyBorder="1" applyAlignment="1">
      <alignment horizontal="center" vertical="center" wrapText="1"/>
    </xf>
    <xf numFmtId="181" fontId="0" fillId="0" borderId="29" xfId="0" applyNumberFormat="1" applyFont="1" applyBorder="1" applyAlignment="1">
      <alignment horizontal="left" vertical="center"/>
    </xf>
    <xf numFmtId="181" fontId="0" fillId="0" borderId="245" xfId="0" applyNumberFormat="1" applyFont="1" applyBorder="1" applyAlignment="1">
      <alignment horizontal="left" vertical="center"/>
    </xf>
    <xf numFmtId="181" fontId="0" fillId="0" borderId="246" xfId="0" applyNumberFormat="1" applyFont="1" applyBorder="1" applyAlignment="1">
      <alignment horizontal="left" vertical="center"/>
    </xf>
    <xf numFmtId="181" fontId="0" fillId="0" borderId="175" xfId="0" applyNumberFormat="1" applyFont="1" applyBorder="1" applyAlignment="1">
      <alignment horizontal="left" vertical="center"/>
    </xf>
    <xf numFmtId="181" fontId="0" fillId="0" borderId="179" xfId="0" applyNumberFormat="1" applyFont="1" applyBorder="1" applyAlignment="1">
      <alignment horizontal="left" vertical="center"/>
    </xf>
    <xf numFmtId="181" fontId="0" fillId="0" borderId="180" xfId="0" applyNumberFormat="1" applyFont="1" applyBorder="1" applyAlignment="1">
      <alignment horizontal="left" vertical="center"/>
    </xf>
    <xf numFmtId="181" fontId="0" fillId="0" borderId="29" xfId="0" applyNumberFormat="1" applyFont="1" applyBorder="1" applyAlignment="1">
      <alignment vertical="center"/>
    </xf>
    <xf numFmtId="181" fontId="0" fillId="0" borderId="33" xfId="0" applyNumberFormat="1" applyFont="1" applyBorder="1" applyAlignment="1">
      <alignment vertical="center"/>
    </xf>
    <xf numFmtId="181" fontId="0" fillId="0" borderId="154" xfId="0" applyNumberFormat="1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86" xfId="0" applyFont="1" applyBorder="1" applyAlignment="1">
      <alignment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55" xfId="0" applyFont="1" applyFill="1" applyBorder="1" applyAlignment="1">
      <alignment horizontal="center" vertical="center"/>
    </xf>
    <xf numFmtId="0" fontId="0" fillId="3" borderId="95" xfId="0" applyFont="1" applyFill="1" applyBorder="1" applyAlignment="1">
      <alignment horizontal="center" vertical="center"/>
    </xf>
    <xf numFmtId="0" fontId="0" fillId="3" borderId="15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157" xfId="0" applyFont="1" applyFill="1" applyBorder="1" applyAlignment="1">
      <alignment horizontal="center" vertical="center"/>
    </xf>
    <xf numFmtId="0" fontId="0" fillId="3" borderId="158" xfId="0" applyFont="1" applyFill="1" applyBorder="1" applyAlignment="1">
      <alignment horizontal="center" vertical="center"/>
    </xf>
    <xf numFmtId="0" fontId="0" fillId="4" borderId="181" xfId="0" applyFont="1" applyFill="1" applyBorder="1" applyAlignment="1">
      <alignment horizontal="center" vertical="center" textRotation="255" wrapText="1"/>
    </xf>
    <xf numFmtId="0" fontId="0" fillId="4" borderId="177" xfId="0" applyFont="1" applyFill="1" applyBorder="1" applyAlignment="1">
      <alignment horizontal="center" vertical="center" textRotation="255" wrapText="1"/>
    </xf>
    <xf numFmtId="0" fontId="0" fillId="4" borderId="37" xfId="0" applyFont="1" applyFill="1" applyBorder="1" applyAlignment="1">
      <alignment horizontal="center" vertical="center" textRotation="255" wrapText="1"/>
    </xf>
    <xf numFmtId="0" fontId="0" fillId="4" borderId="106" xfId="0" applyFont="1" applyFill="1" applyBorder="1" applyAlignment="1">
      <alignment horizontal="center" vertical="center" textRotation="255" wrapText="1"/>
    </xf>
    <xf numFmtId="180" fontId="0" fillId="0" borderId="151" xfId="1" applyNumberFormat="1" applyFont="1" applyBorder="1" applyAlignment="1">
      <alignment horizontal="center" vertical="center"/>
    </xf>
    <xf numFmtId="180" fontId="0" fillId="0" borderId="85" xfId="1" applyNumberFormat="1" applyFont="1" applyBorder="1" applyAlignment="1">
      <alignment horizontal="center" vertical="center"/>
    </xf>
    <xf numFmtId="180" fontId="0" fillId="0" borderId="152" xfId="1" applyNumberFormat="1" applyFont="1" applyBorder="1" applyAlignment="1">
      <alignment horizontal="center" vertical="center"/>
    </xf>
    <xf numFmtId="180" fontId="0" fillId="0" borderId="112" xfId="1" applyNumberFormat="1" applyFont="1" applyBorder="1" applyAlignment="1">
      <alignment horizontal="center" vertical="center"/>
    </xf>
    <xf numFmtId="180" fontId="0" fillId="0" borderId="86" xfId="1" applyNumberFormat="1" applyFont="1" applyBorder="1" applyAlignment="1">
      <alignment horizontal="center" vertical="center"/>
    </xf>
    <xf numFmtId="180" fontId="0" fillId="0" borderId="153" xfId="1" applyNumberFormat="1" applyFont="1" applyBorder="1" applyAlignment="1">
      <alignment horizontal="center" vertical="center"/>
    </xf>
    <xf numFmtId="181" fontId="8" fillId="0" borderId="214" xfId="0" applyNumberFormat="1" applyFont="1" applyBorder="1" applyAlignment="1">
      <alignment vertical="center" shrinkToFit="1"/>
    </xf>
    <xf numFmtId="181" fontId="8" fillId="0" borderId="215" xfId="0" applyNumberFormat="1" applyFont="1" applyBorder="1" applyAlignment="1">
      <alignment vertical="center" shrinkToFit="1"/>
    </xf>
    <xf numFmtId="181" fontId="8" fillId="0" borderId="216" xfId="0" applyNumberFormat="1" applyFont="1" applyBorder="1" applyAlignment="1">
      <alignment vertical="center" shrinkToFit="1"/>
    </xf>
    <xf numFmtId="181" fontId="8" fillId="0" borderId="29" xfId="0" applyNumberFormat="1" applyFont="1" applyBorder="1" applyAlignment="1">
      <alignment vertical="center" wrapText="1"/>
    </xf>
    <xf numFmtId="181" fontId="8" fillId="0" borderId="33" xfId="0" applyNumberFormat="1" applyFont="1" applyBorder="1" applyAlignment="1">
      <alignment vertical="center"/>
    </xf>
    <xf numFmtId="181" fontId="8" fillId="0" borderId="154" xfId="0" applyNumberFormat="1" applyFont="1" applyBorder="1" applyAlignment="1">
      <alignment vertical="center"/>
    </xf>
    <xf numFmtId="0" fontId="0" fillId="3" borderId="79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181" fontId="0" fillId="0" borderId="40" xfId="0" applyNumberFormat="1" applyFont="1" applyBorder="1" applyAlignment="1">
      <alignment vertical="center"/>
    </xf>
    <xf numFmtId="181" fontId="0" fillId="0" borderId="41" xfId="0" applyNumberFormat="1" applyFont="1" applyBorder="1" applyAlignment="1">
      <alignment vertical="center"/>
    </xf>
    <xf numFmtId="181" fontId="0" fillId="0" borderId="159" xfId="0" applyNumberFormat="1" applyFont="1" applyBorder="1" applyAlignment="1">
      <alignment vertical="center"/>
    </xf>
    <xf numFmtId="0" fontId="0" fillId="0" borderId="123" xfId="0" applyFont="1" applyBorder="1" applyAlignment="1">
      <alignment horizontal="center" vertical="center" textRotation="255"/>
    </xf>
    <xf numFmtId="0" fontId="0" fillId="0" borderId="83" xfId="0" applyFont="1" applyBorder="1" applyAlignment="1">
      <alignment horizontal="center" vertical="center" textRotation="255"/>
    </xf>
    <xf numFmtId="0" fontId="0" fillId="3" borderId="80" xfId="0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225" xfId="0" applyBorder="1" applyAlignment="1">
      <alignment horizontal="center" vertical="center" textRotation="255" wrapText="1"/>
    </xf>
    <xf numFmtId="0" fontId="0" fillId="0" borderId="50" xfId="0" applyBorder="1" applyAlignment="1">
      <alignment horizontal="center" vertical="center" textRotation="255" wrapText="1"/>
    </xf>
    <xf numFmtId="176" fontId="0" fillId="0" borderId="190" xfId="0" applyNumberFormat="1" applyFont="1" applyBorder="1" applyAlignment="1">
      <alignment horizontal="center" vertical="center"/>
    </xf>
    <xf numFmtId="176" fontId="0" fillId="0" borderId="189" xfId="0" applyNumberFormat="1" applyFont="1" applyBorder="1" applyAlignment="1">
      <alignment horizontal="center" vertical="center"/>
    </xf>
    <xf numFmtId="176" fontId="0" fillId="0" borderId="191" xfId="0" applyNumberFormat="1" applyFont="1" applyBorder="1" applyAlignment="1">
      <alignment horizontal="center" vertical="center"/>
    </xf>
    <xf numFmtId="176" fontId="0" fillId="0" borderId="141" xfId="0" applyNumberFormat="1" applyFont="1" applyBorder="1" applyAlignment="1">
      <alignment horizontal="center" vertical="center"/>
    </xf>
    <xf numFmtId="176" fontId="0" fillId="0" borderId="260" xfId="0" applyNumberFormat="1" applyFont="1" applyBorder="1" applyAlignment="1">
      <alignment horizontal="center" vertical="center"/>
    </xf>
    <xf numFmtId="176" fontId="0" fillId="0" borderId="162" xfId="0" applyNumberFormat="1" applyFont="1" applyBorder="1" applyAlignment="1">
      <alignment horizontal="center" vertical="center"/>
    </xf>
    <xf numFmtId="176" fontId="0" fillId="0" borderId="193" xfId="0" applyNumberFormat="1" applyFont="1" applyBorder="1" applyAlignment="1">
      <alignment horizontal="center" vertical="center"/>
    </xf>
    <xf numFmtId="176" fontId="0" fillId="0" borderId="163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86" fontId="0" fillId="0" borderId="225" xfId="0" applyNumberFormat="1" applyFont="1" applyBorder="1" applyAlignment="1">
      <alignment horizontal="center" vertical="center" textRotation="255" wrapText="1"/>
    </xf>
    <xf numFmtId="186" fontId="0" fillId="0" borderId="50" xfId="0" applyNumberFormat="1" applyFont="1" applyBorder="1" applyAlignment="1">
      <alignment horizontal="center" vertical="center" textRotation="255" wrapText="1"/>
    </xf>
    <xf numFmtId="176" fontId="0" fillId="0" borderId="225" xfId="0" applyNumberFormat="1" applyFont="1" applyBorder="1" applyAlignment="1">
      <alignment horizontal="center" vertical="center" textRotation="255" wrapText="1"/>
    </xf>
    <xf numFmtId="0" fontId="0" fillId="0" borderId="50" xfId="0" applyFont="1" applyBorder="1" applyAlignment="1">
      <alignment horizontal="center" vertical="center" textRotation="255" wrapText="1"/>
    </xf>
    <xf numFmtId="0" fontId="0" fillId="0" borderId="65" xfId="0" applyFont="1" applyBorder="1" applyAlignment="1">
      <alignment horizontal="center" vertical="center" textRotation="255" wrapText="1"/>
    </xf>
    <xf numFmtId="176" fontId="6" fillId="0" borderId="225" xfId="0" applyNumberFormat="1" applyFont="1" applyBorder="1" applyAlignment="1">
      <alignment horizontal="center" vertical="center" textRotation="255" wrapText="1"/>
    </xf>
    <xf numFmtId="0" fontId="0" fillId="0" borderId="65" xfId="0" applyBorder="1" applyAlignment="1">
      <alignment horizontal="center" vertical="center" textRotation="255" wrapText="1"/>
    </xf>
    <xf numFmtId="176" fontId="0" fillId="0" borderId="223" xfId="0" applyNumberFormat="1" applyFont="1" applyBorder="1" applyAlignment="1">
      <alignment horizontal="left" vertical="center" indent="1"/>
    </xf>
    <xf numFmtId="176" fontId="0" fillId="0" borderId="224" xfId="0" applyNumberFormat="1" applyFont="1" applyBorder="1" applyAlignment="1">
      <alignment horizontal="left" vertical="center" indent="1"/>
    </xf>
    <xf numFmtId="176" fontId="0" fillId="0" borderId="223" xfId="0" applyNumberFormat="1" applyFont="1" applyBorder="1" applyAlignment="1">
      <alignment horizontal="center" vertical="center"/>
    </xf>
    <xf numFmtId="176" fontId="0" fillId="0" borderId="224" xfId="0" applyNumberFormat="1" applyFont="1" applyBorder="1" applyAlignment="1">
      <alignment horizontal="center" vertical="center"/>
    </xf>
    <xf numFmtId="176" fontId="0" fillId="0" borderId="259" xfId="0" applyNumberFormat="1" applyFont="1" applyBorder="1" applyAlignment="1">
      <alignment horizontal="center" vertical="center"/>
    </xf>
    <xf numFmtId="176" fontId="0" fillId="0" borderId="254" xfId="0" applyNumberFormat="1" applyFont="1" applyBorder="1" applyAlignment="1">
      <alignment horizontal="center" vertical="center"/>
    </xf>
    <xf numFmtId="176" fontId="0" fillId="0" borderId="259" xfId="0" applyNumberFormat="1" applyBorder="1" applyAlignment="1">
      <alignment horizontal="center" vertical="center"/>
    </xf>
    <xf numFmtId="176" fontId="0" fillId="0" borderId="254" xfId="0" applyNumberFormat="1" applyBorder="1" applyAlignment="1">
      <alignment horizontal="center" vertical="center"/>
    </xf>
    <xf numFmtId="176" fontId="0" fillId="0" borderId="162" xfId="0" applyNumberFormat="1" applyBorder="1" applyAlignment="1">
      <alignment horizontal="center" vertical="center"/>
    </xf>
    <xf numFmtId="176" fontId="0" fillId="0" borderId="226" xfId="0" applyNumberFormat="1" applyFont="1" applyBorder="1" applyAlignment="1">
      <alignment horizontal="center" vertical="center"/>
    </xf>
    <xf numFmtId="176" fontId="0" fillId="0" borderId="227" xfId="0" applyNumberFormat="1" applyFont="1" applyBorder="1" applyAlignment="1">
      <alignment horizontal="center" vertical="center"/>
    </xf>
    <xf numFmtId="176" fontId="0" fillId="0" borderId="14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47" xfId="0" applyNumberFormat="1" applyBorder="1" applyAlignment="1">
      <alignment horizontal="center" vertical="center"/>
    </xf>
    <xf numFmtId="176" fontId="0" fillId="0" borderId="149" xfId="0" applyNumberFormat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212" xfId="0" applyNumberFormat="1" applyFont="1" applyBorder="1" applyAlignment="1">
      <alignment horizontal="center" vertical="center" shrinkToFit="1"/>
    </xf>
    <xf numFmtId="176" fontId="0" fillId="0" borderId="161" xfId="0" applyNumberFormat="1" applyFont="1" applyBorder="1" applyAlignment="1">
      <alignment horizontal="center" vertical="center" shrinkToFit="1"/>
    </xf>
    <xf numFmtId="176" fontId="0" fillId="0" borderId="51" xfId="0" applyNumberFormat="1" applyFont="1" applyBorder="1" applyAlignment="1">
      <alignment horizontal="center" vertical="center" textRotation="255" shrinkToFit="1"/>
    </xf>
    <xf numFmtId="176" fontId="0" fillId="0" borderId="50" xfId="0" applyNumberFormat="1" applyFont="1" applyBorder="1" applyAlignment="1">
      <alignment horizontal="center" vertical="center" textRotation="255" shrinkToFit="1"/>
    </xf>
    <xf numFmtId="176" fontId="0" fillId="0" borderId="65" xfId="0" applyNumberFormat="1" applyFont="1" applyBorder="1" applyAlignment="1">
      <alignment horizontal="center" vertical="center" textRotation="255" shrinkToFit="1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76" fontId="0" fillId="0" borderId="196" xfId="0" applyNumberFormat="1" applyFont="1" applyBorder="1" applyAlignment="1">
      <alignment horizontal="center" vertical="center" shrinkToFit="1"/>
    </xf>
    <xf numFmtId="176" fontId="0" fillId="0" borderId="65" xfId="0" applyNumberFormat="1" applyFont="1" applyBorder="1" applyAlignment="1">
      <alignment horizontal="center" vertical="center" shrinkToFit="1"/>
    </xf>
    <xf numFmtId="176" fontId="0" fillId="0" borderId="213" xfId="0" applyNumberFormat="1" applyFont="1" applyBorder="1" applyAlignment="1">
      <alignment horizontal="center" vertical="center" shrinkToFit="1"/>
    </xf>
    <xf numFmtId="176" fontId="0" fillId="0" borderId="142" xfId="0" applyNumberFormat="1" applyFont="1" applyBorder="1" applyAlignment="1">
      <alignment horizontal="center" vertical="center" shrinkToFit="1"/>
    </xf>
    <xf numFmtId="176" fontId="0" fillId="0" borderId="225" xfId="0" applyNumberFormat="1" applyFont="1" applyBorder="1" applyAlignment="1">
      <alignment horizontal="center" vertical="center" textRotation="255" shrinkToFit="1"/>
    </xf>
    <xf numFmtId="0" fontId="0" fillId="0" borderId="50" xfId="0" applyBorder="1" applyAlignment="1">
      <alignment horizontal="center" vertical="center" textRotation="255" shrinkToFit="1"/>
    </xf>
    <xf numFmtId="0" fontId="0" fillId="0" borderId="65" xfId="0" applyBorder="1" applyAlignment="1">
      <alignment horizontal="center" vertical="center" textRotation="255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70" xfId="0" applyNumberFormat="1" applyFont="1" applyBorder="1" applyAlignment="1">
      <alignment horizontal="center" vertical="center" shrinkToFit="1"/>
    </xf>
    <xf numFmtId="177" fontId="0" fillId="0" borderId="188" xfId="0" applyNumberFormat="1" applyFill="1" applyBorder="1" applyAlignment="1">
      <alignment horizontal="center" vertical="center"/>
    </xf>
    <xf numFmtId="177" fontId="0" fillId="0" borderId="189" xfId="0" applyNumberFormat="1" applyFont="1" applyFill="1" applyBorder="1" applyAlignment="1">
      <alignment horizontal="center" vertical="center"/>
    </xf>
    <xf numFmtId="177" fontId="0" fillId="0" borderId="192" xfId="0" applyNumberFormat="1" applyFont="1" applyFill="1" applyBorder="1" applyAlignment="1">
      <alignment horizontal="center" vertical="center"/>
    </xf>
    <xf numFmtId="177" fontId="0" fillId="0" borderId="134" xfId="0" quotePrefix="1" applyNumberFormat="1" applyFont="1" applyFill="1" applyBorder="1" applyAlignment="1">
      <alignment horizontal="left" vertical="center" wrapText="1"/>
    </xf>
    <xf numFmtId="177" fontId="0" fillId="0" borderId="139" xfId="0" applyNumberFormat="1" applyFont="1" applyFill="1" applyBorder="1" applyAlignment="1">
      <alignment horizontal="left" vertical="center" wrapText="1"/>
    </xf>
    <xf numFmtId="177" fontId="0" fillId="0" borderId="116" xfId="0" applyNumberFormat="1" applyFont="1" applyFill="1" applyBorder="1" applyAlignment="1">
      <alignment horizontal="center" vertical="center" shrinkToFit="1"/>
    </xf>
    <xf numFmtId="177" fontId="0" fillId="0" borderId="120" xfId="0" applyNumberFormat="1" applyFont="1" applyFill="1" applyBorder="1" applyAlignment="1">
      <alignment horizontal="center" vertical="center" shrinkToFit="1"/>
    </xf>
    <xf numFmtId="177" fontId="0" fillId="0" borderId="134" xfId="0" applyNumberFormat="1" applyFont="1" applyFill="1" applyBorder="1" applyAlignment="1">
      <alignment vertical="center" shrinkToFit="1"/>
    </xf>
    <xf numFmtId="177" fontId="0" fillId="0" borderId="140" xfId="0" applyNumberFormat="1" applyFont="1" applyFill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23" xfId="0" applyNumberFormat="1" applyFont="1" applyBorder="1" applyAlignment="1">
      <alignment horizontal="center" vertical="center" shrinkToFit="1"/>
    </xf>
    <xf numFmtId="177" fontId="0" fillId="0" borderId="7" xfId="0" applyNumberFormat="1" applyFont="1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162" xfId="0" applyNumberFormat="1" applyFont="1" applyBorder="1" applyAlignment="1">
      <alignment horizontal="center" vertical="center" shrinkToFit="1"/>
    </xf>
    <xf numFmtId="177" fontId="0" fillId="0" borderId="119" xfId="0" applyNumberFormat="1" applyFont="1" applyBorder="1" applyAlignment="1">
      <alignment horizontal="center" vertical="center" shrinkToFit="1"/>
    </xf>
    <xf numFmtId="177" fontId="8" fillId="0" borderId="134" xfId="0" quotePrefix="1" applyNumberFormat="1" applyFont="1" applyFill="1" applyBorder="1" applyAlignment="1">
      <alignment vertical="center" shrinkToFit="1"/>
    </xf>
    <xf numFmtId="0" fontId="0" fillId="0" borderId="139" xfId="0" applyBorder="1" applyAlignment="1">
      <alignment vertical="center" shrinkToFit="1"/>
    </xf>
    <xf numFmtId="0" fontId="0" fillId="0" borderId="140" xfId="0" applyBorder="1" applyAlignment="1">
      <alignment vertical="center" shrinkToFit="1"/>
    </xf>
    <xf numFmtId="177" fontId="0" fillId="0" borderId="113" xfId="0" applyNumberFormat="1" applyBorder="1" applyAlignment="1">
      <alignment horizontal="center" vertical="center" textRotation="255" shrinkToFit="1"/>
    </xf>
    <xf numFmtId="177" fontId="0" fillId="0" borderId="7" xfId="0" applyNumberFormat="1" applyBorder="1" applyAlignment="1">
      <alignment horizontal="center" vertical="center" textRotation="255" shrinkToFit="1"/>
    </xf>
    <xf numFmtId="177" fontId="0" fillId="0" borderId="114" xfId="0" applyNumberFormat="1" applyBorder="1" applyAlignment="1">
      <alignment horizontal="center" vertical="center" textRotation="255" shrinkToFit="1"/>
    </xf>
    <xf numFmtId="0" fontId="0" fillId="0" borderId="109" xfId="0" applyFill="1" applyBorder="1" applyAlignment="1">
      <alignment horizontal="center" vertical="center" textRotation="255" wrapText="1"/>
    </xf>
    <xf numFmtId="0" fontId="0" fillId="0" borderId="37" xfId="0" applyFill="1" applyBorder="1" applyAlignment="1">
      <alignment horizontal="center" vertical="center" textRotation="255" wrapText="1"/>
    </xf>
    <xf numFmtId="0" fontId="0" fillId="0" borderId="63" xfId="0" applyFill="1" applyBorder="1" applyAlignment="1">
      <alignment horizontal="center" vertical="center" textRotation="255" wrapText="1"/>
    </xf>
    <xf numFmtId="177" fontId="0" fillId="2" borderId="110" xfId="0" applyNumberFormat="1" applyFill="1" applyBorder="1" applyAlignment="1">
      <alignment horizontal="center" vertical="center" shrinkToFit="1"/>
    </xf>
    <xf numFmtId="177" fontId="0" fillId="2" borderId="111" xfId="0" applyNumberFormat="1" applyFill="1" applyBorder="1" applyAlignment="1">
      <alignment horizontal="center" vertical="center" shrinkToFit="1"/>
    </xf>
    <xf numFmtId="177" fontId="0" fillId="0" borderId="100" xfId="0" applyNumberFormat="1" applyFont="1" applyBorder="1" applyAlignment="1">
      <alignment vertical="center"/>
    </xf>
    <xf numFmtId="177" fontId="0" fillId="0" borderId="108" xfId="0" applyNumberFormat="1" applyFont="1" applyBorder="1" applyAlignment="1">
      <alignment vertical="center"/>
    </xf>
    <xf numFmtId="177" fontId="0" fillId="0" borderId="121" xfId="0" applyNumberFormat="1" applyFont="1" applyBorder="1" applyAlignment="1">
      <alignment vertical="center"/>
    </xf>
    <xf numFmtId="177" fontId="0" fillId="0" borderId="217" xfId="0" applyNumberFormat="1" applyFont="1" applyFill="1" applyBorder="1" applyAlignment="1">
      <alignment horizontal="center" vertical="center"/>
    </xf>
    <xf numFmtId="177" fontId="0" fillId="0" borderId="218" xfId="0" applyNumberFormat="1" applyFont="1" applyFill="1" applyBorder="1" applyAlignment="1">
      <alignment horizontal="center" vertical="center"/>
    </xf>
    <xf numFmtId="177" fontId="0" fillId="0" borderId="219" xfId="0" applyNumberFormat="1" applyFont="1" applyFill="1" applyBorder="1" applyAlignment="1">
      <alignment horizontal="center" vertical="center"/>
    </xf>
    <xf numFmtId="177" fontId="0" fillId="0" borderId="134" xfId="0" applyNumberFormat="1" applyFont="1" applyFill="1" applyBorder="1" applyAlignment="1">
      <alignment horizontal="center" vertical="center"/>
    </xf>
    <xf numFmtId="177" fontId="0" fillId="0" borderId="139" xfId="0" applyNumberFormat="1" applyFont="1" applyFill="1" applyBorder="1" applyAlignment="1">
      <alignment horizontal="center" vertical="center"/>
    </xf>
    <xf numFmtId="177" fontId="0" fillId="0" borderId="140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34" xfId="0" applyNumberFormat="1" applyFont="1" applyFill="1" applyBorder="1" applyAlignment="1">
      <alignment horizontal="left" vertical="center" shrinkToFit="1"/>
    </xf>
    <xf numFmtId="177" fontId="0" fillId="0" borderId="44" xfId="0" applyNumberFormat="1" applyFont="1" applyFill="1" applyBorder="1" applyAlignment="1">
      <alignment horizontal="left" vertical="center" shrinkToFit="1"/>
    </xf>
    <xf numFmtId="0" fontId="0" fillId="0" borderId="35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0" fontId="0" fillId="5" borderId="40" xfId="0" applyFill="1" applyBorder="1" applyAlignment="1">
      <alignment horizontal="left" vertical="center"/>
    </xf>
    <xf numFmtId="0" fontId="0" fillId="5" borderId="54" xfId="0" applyFont="1" applyFill="1" applyBorder="1" applyAlignment="1">
      <alignment horizontal="left" vertical="center"/>
    </xf>
    <xf numFmtId="177" fontId="0" fillId="2" borderId="239" xfId="0" applyNumberFormat="1" applyFont="1" applyFill="1" applyBorder="1" applyAlignment="1">
      <alignment horizontal="right" vertical="center" shrinkToFit="1"/>
    </xf>
    <xf numFmtId="177" fontId="0" fillId="2" borderId="265" xfId="0" applyNumberFormat="1" applyFont="1" applyFill="1" applyBorder="1" applyAlignment="1">
      <alignment horizontal="right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0" borderId="19" xfId="0" applyNumberFormat="1" applyFont="1" applyFill="1" applyBorder="1" applyAlignment="1">
      <alignment horizontal="center" vertical="center" shrinkToFit="1"/>
    </xf>
    <xf numFmtId="177" fontId="0" fillId="0" borderId="87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Fill="1" applyBorder="1" applyAlignment="1">
      <alignment vertical="center" shrinkToFit="1"/>
    </xf>
    <xf numFmtId="177" fontId="0" fillId="0" borderId="69" xfId="0" applyNumberFormat="1" applyFont="1" applyFill="1" applyBorder="1" applyAlignment="1">
      <alignment vertical="center" shrinkToFit="1"/>
    </xf>
    <xf numFmtId="177" fontId="0" fillId="0" borderId="119" xfId="0" applyNumberFormat="1" applyFill="1" applyBorder="1" applyAlignment="1">
      <alignment vertical="center" shrinkToFit="1"/>
    </xf>
    <xf numFmtId="177" fontId="0" fillId="0" borderId="120" xfId="0" applyNumberFormat="1" applyFill="1" applyBorder="1" applyAlignment="1">
      <alignment vertical="center" shrinkToFit="1"/>
    </xf>
    <xf numFmtId="177" fontId="0" fillId="0" borderId="72" xfId="0" applyNumberFormat="1" applyFill="1" applyBorder="1" applyAlignment="1">
      <alignment vertical="center"/>
    </xf>
    <xf numFmtId="0" fontId="0" fillId="0" borderId="72" xfId="0" applyFont="1" applyFill="1" applyBorder="1" applyAlignment="1">
      <alignment vertical="center"/>
    </xf>
    <xf numFmtId="0" fontId="0" fillId="0" borderId="61" xfId="0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20" xfId="0" applyNumberFormat="1" applyFill="1" applyBorder="1" applyAlignment="1">
      <alignment horizontal="center" vertical="center" textRotation="255" shrinkToFit="1"/>
    </xf>
    <xf numFmtId="177" fontId="0" fillId="0" borderId="14" xfId="0" applyNumberFormat="1" applyFill="1" applyBorder="1" applyAlignment="1">
      <alignment horizontal="center" vertical="center" textRotation="255" shrinkToFit="1"/>
    </xf>
    <xf numFmtId="177" fontId="0" fillId="0" borderId="161" xfId="0" applyNumberFormat="1" applyFill="1" applyBorder="1" applyAlignment="1">
      <alignment horizontal="center" vertical="center" textRotation="255" shrinkToFit="1"/>
    </xf>
    <xf numFmtId="177" fontId="0" fillId="0" borderId="116" xfId="0" applyNumberFormat="1" applyFont="1" applyFill="1" applyBorder="1" applyAlignment="1">
      <alignment horizontal="center" vertical="center"/>
    </xf>
    <xf numFmtId="177" fontId="0" fillId="0" borderId="119" xfId="0" applyNumberFormat="1" applyFont="1" applyFill="1" applyBorder="1" applyAlignment="1">
      <alignment horizontal="center" vertical="center"/>
    </xf>
    <xf numFmtId="177" fontId="0" fillId="0" borderId="120" xfId="0" applyNumberFormat="1" applyFont="1" applyFill="1" applyBorder="1" applyAlignment="1">
      <alignment horizontal="center" vertical="center"/>
    </xf>
    <xf numFmtId="177" fontId="0" fillId="0" borderId="110" xfId="0" applyNumberFormat="1" applyFont="1" applyBorder="1" applyAlignment="1">
      <alignment vertical="center"/>
    </xf>
    <xf numFmtId="177" fontId="0" fillId="0" borderId="164" xfId="0" applyNumberFormat="1" applyFont="1" applyBorder="1" applyAlignment="1">
      <alignment vertical="center"/>
    </xf>
    <xf numFmtId="177" fontId="0" fillId="0" borderId="165" xfId="0" applyNumberFormat="1" applyFont="1" applyBorder="1" applyAlignment="1">
      <alignment vertical="center"/>
    </xf>
    <xf numFmtId="177" fontId="0" fillId="0" borderId="236" xfId="0" applyNumberFormat="1" applyFont="1" applyFill="1" applyBorder="1" applyAlignment="1">
      <alignment vertical="center"/>
    </xf>
    <xf numFmtId="177" fontId="0" fillId="0" borderId="237" xfId="0" applyNumberFormat="1" applyFont="1" applyFill="1" applyBorder="1" applyAlignment="1">
      <alignment vertical="center"/>
    </xf>
    <xf numFmtId="177" fontId="0" fillId="0" borderId="238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66" xfId="0" applyNumberFormat="1" applyFont="1" applyFill="1" applyBorder="1" applyAlignment="1">
      <alignment vertical="center"/>
    </xf>
    <xf numFmtId="177" fontId="0" fillId="0" borderId="170" xfId="0" applyNumberFormat="1" applyFont="1" applyFill="1" applyBorder="1" applyAlignment="1">
      <alignment vertical="center"/>
    </xf>
    <xf numFmtId="177" fontId="0" fillId="0" borderId="171" xfId="0" applyNumberFormat="1" applyFont="1" applyFill="1" applyBorder="1" applyAlignment="1">
      <alignment vertical="center"/>
    </xf>
    <xf numFmtId="177" fontId="0" fillId="0" borderId="139" xfId="0" applyNumberFormat="1" applyFont="1" applyFill="1" applyBorder="1" applyAlignment="1">
      <alignment vertical="center"/>
    </xf>
    <xf numFmtId="177" fontId="0" fillId="0" borderId="11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02" xfId="0" applyNumberFormat="1" applyBorder="1" applyAlignment="1">
      <alignment horizontal="center" vertical="center" textRotation="255" shrinkToFit="1"/>
    </xf>
    <xf numFmtId="177" fontId="0" fillId="0" borderId="50" xfId="0" applyNumberFormat="1" applyBorder="1" applyAlignment="1">
      <alignment horizontal="center" vertical="center" textRotation="255" shrinkToFit="1"/>
    </xf>
    <xf numFmtId="177" fontId="0" fillId="0" borderId="28" xfId="0" applyNumberFormat="1" applyBorder="1" applyAlignment="1">
      <alignment horizontal="center" vertical="center" textRotation="255" shrinkToFit="1"/>
    </xf>
    <xf numFmtId="176" fontId="0" fillId="0" borderId="98" xfId="0" applyNumberFormat="1" applyFont="1" applyBorder="1" applyAlignment="1">
      <alignment horizontal="center" vertical="center" textRotation="255" shrinkToFit="1"/>
    </xf>
    <xf numFmtId="177" fontId="0" fillId="0" borderId="236" xfId="0" applyNumberFormat="1" applyFont="1" applyBorder="1" applyAlignment="1">
      <alignment horizontal="center" vertical="center" shrinkToFit="1"/>
    </xf>
    <xf numFmtId="177" fontId="0" fillId="0" borderId="224" xfId="0" applyNumberFormat="1" applyFont="1" applyBorder="1" applyAlignment="1">
      <alignment horizontal="center" vertical="center" shrinkToFit="1"/>
    </xf>
    <xf numFmtId="176" fontId="0" fillId="0" borderId="115" xfId="0" applyNumberFormat="1" applyFont="1" applyBorder="1" applyAlignment="1">
      <alignment horizontal="center" vertical="center" textRotation="255" shrinkToFit="1"/>
    </xf>
    <xf numFmtId="176" fontId="0" fillId="0" borderId="84" xfId="0" applyNumberFormat="1" applyFont="1" applyBorder="1" applyAlignment="1">
      <alignment horizontal="center" vertical="center" textRotation="255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247" xfId="0" applyNumberFormat="1" applyFont="1" applyBorder="1" applyAlignment="1">
      <alignment horizontal="center" vertical="center" shrinkToFit="1"/>
    </xf>
    <xf numFmtId="176" fontId="0" fillId="0" borderId="106" xfId="0" applyNumberFormat="1" applyFont="1" applyBorder="1" applyAlignment="1">
      <alignment horizontal="center" vertical="center" shrinkToFit="1"/>
    </xf>
    <xf numFmtId="176" fontId="0" fillId="0" borderId="248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shrinkToFit="1"/>
    </xf>
    <xf numFmtId="177" fontId="0" fillId="0" borderId="190" xfId="0" applyNumberFormat="1" applyFont="1" applyBorder="1" applyAlignment="1">
      <alignment horizontal="center" vertical="center" shrinkToFit="1"/>
    </xf>
    <xf numFmtId="177" fontId="0" fillId="0" borderId="191" xfId="0" applyNumberFormat="1" applyFont="1" applyBorder="1" applyAlignment="1">
      <alignment horizontal="center" vertical="center" shrinkToFit="1"/>
    </xf>
    <xf numFmtId="176" fontId="0" fillId="0" borderId="102" xfId="0" applyNumberFormat="1" applyFont="1" applyBorder="1" applyAlignment="1">
      <alignment horizontal="center" vertical="center" textRotation="255" shrinkToFit="1"/>
    </xf>
    <xf numFmtId="177" fontId="0" fillId="0" borderId="126" xfId="3" applyNumberFormat="1" applyFont="1" applyBorder="1" applyAlignment="1">
      <alignment horizontal="center" vertical="center" textRotation="255" shrinkToFit="1"/>
    </xf>
    <xf numFmtId="177" fontId="0" fillId="0" borderId="79" xfId="3" applyNumberFormat="1" applyFont="1" applyBorder="1" applyAlignment="1">
      <alignment horizontal="center" vertical="center" textRotation="255" shrinkToFit="1"/>
    </xf>
    <xf numFmtId="177" fontId="0" fillId="0" borderId="124" xfId="3" applyNumberFormat="1" applyFont="1" applyBorder="1" applyAlignment="1">
      <alignment horizontal="center" vertical="center" textRotation="255" shrinkToFit="1"/>
    </xf>
    <xf numFmtId="176" fontId="0" fillId="0" borderId="127" xfId="0" applyNumberFormat="1" applyFont="1" applyFill="1" applyBorder="1" applyAlignment="1">
      <alignment vertical="center"/>
    </xf>
    <xf numFmtId="176" fontId="19" fillId="0" borderId="102" xfId="0" applyNumberFormat="1" applyFont="1" applyBorder="1" applyAlignment="1">
      <alignment horizontal="center" vertical="center" textRotation="255" wrapText="1"/>
    </xf>
    <xf numFmtId="176" fontId="0" fillId="0" borderId="50" xfId="0" applyNumberFormat="1" applyFont="1" applyBorder="1" applyAlignment="1">
      <alignment horizontal="center" vertical="center" textRotation="255" wrapText="1"/>
    </xf>
    <xf numFmtId="176" fontId="0" fillId="0" borderId="98" xfId="0" applyNumberFormat="1" applyFont="1" applyBorder="1" applyAlignment="1">
      <alignment horizontal="center" vertical="center" textRotation="255" wrapText="1"/>
    </xf>
    <xf numFmtId="177" fontId="0" fillId="2" borderId="243" xfId="0" applyNumberFormat="1" applyFont="1" applyFill="1" applyBorder="1" applyAlignment="1">
      <alignment horizontal="center" vertical="center" shrinkToFit="1"/>
    </xf>
    <xf numFmtId="177" fontId="0" fillId="2" borderId="254" xfId="0" applyNumberFormat="1" applyFont="1" applyFill="1" applyBorder="1" applyAlignment="1">
      <alignment horizontal="center" vertical="center" shrinkToFit="1"/>
    </xf>
    <xf numFmtId="176" fontId="6" fillId="0" borderId="102" xfId="0" applyNumberFormat="1" applyFont="1" applyBorder="1" applyAlignment="1">
      <alignment horizontal="center" vertical="center" textRotation="255" wrapText="1"/>
    </xf>
    <xf numFmtId="176" fontId="0" fillId="0" borderId="174" xfId="0" applyNumberFormat="1" applyFont="1" applyBorder="1" applyAlignment="1">
      <alignment horizontal="center" vertical="center" textRotation="255" wrapText="1"/>
    </xf>
    <xf numFmtId="177" fontId="0" fillId="2" borderId="259" xfId="0" applyNumberFormat="1" applyFont="1" applyFill="1" applyBorder="1" applyAlignment="1">
      <alignment horizontal="center" vertical="center" shrinkToFit="1"/>
    </xf>
    <xf numFmtId="176" fontId="0" fillId="2" borderId="243" xfId="0" applyNumberFormat="1" applyFont="1" applyFill="1" applyBorder="1" applyAlignment="1">
      <alignment horizontal="center" vertical="center" shrinkToFit="1"/>
    </xf>
    <xf numFmtId="176" fontId="0" fillId="2" borderId="254" xfId="0" applyNumberFormat="1" applyFont="1" applyFill="1" applyBorder="1" applyAlignment="1">
      <alignment horizontal="center" vertical="center" shrinkToFit="1"/>
    </xf>
    <xf numFmtId="176" fontId="0" fillId="2" borderId="172" xfId="0" applyNumberFormat="1" applyFont="1" applyFill="1" applyBorder="1" applyAlignment="1">
      <alignment horizontal="center" vertical="center" shrinkToFit="1"/>
    </xf>
    <xf numFmtId="176" fontId="0" fillId="2" borderId="173" xfId="0" applyNumberFormat="1" applyFont="1" applyFill="1" applyBorder="1" applyAlignment="1">
      <alignment horizontal="center" vertical="center" shrinkToFit="1"/>
    </xf>
    <xf numFmtId="176" fontId="0" fillId="0" borderId="28" xfId="0" applyNumberFormat="1" applyFont="1" applyBorder="1" applyAlignment="1">
      <alignment horizontal="center" vertical="center" textRotation="255" shrinkToFit="1"/>
    </xf>
    <xf numFmtId="177" fontId="0" fillId="0" borderId="203" xfId="3" applyNumberFormat="1" applyFont="1" applyBorder="1" applyAlignment="1">
      <alignment horizontal="center" vertical="center" shrinkToFit="1"/>
    </xf>
    <xf numFmtId="177" fontId="0" fillId="0" borderId="56" xfId="3" applyNumberFormat="1" applyFont="1" applyBorder="1" applyAlignment="1">
      <alignment horizontal="center" vertical="center" shrinkToFit="1"/>
    </xf>
    <xf numFmtId="177" fontId="0" fillId="0" borderId="256" xfId="3" applyNumberFormat="1" applyFont="1" applyBorder="1" applyAlignment="1">
      <alignment horizontal="center" vertical="center" textRotation="255" shrinkToFit="1"/>
    </xf>
    <xf numFmtId="0" fontId="0" fillId="0" borderId="83" xfId="0" applyFont="1" applyBorder="1">
      <alignment vertical="center"/>
    </xf>
    <xf numFmtId="0" fontId="0" fillId="0" borderId="132" xfId="0" applyFont="1" applyBorder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2" borderId="45" xfId="0" applyNumberFormat="1" applyFont="1" applyFill="1" applyBorder="1" applyAlignment="1">
      <alignment vertical="center" shrinkToFit="1"/>
    </xf>
    <xf numFmtId="176" fontId="0" fillId="0" borderId="45" xfId="0" applyNumberFormat="1" applyFont="1" applyBorder="1" applyAlignment="1">
      <alignment vertical="center"/>
    </xf>
    <xf numFmtId="177" fontId="0" fillId="0" borderId="32" xfId="3" applyNumberFormat="1" applyFont="1" applyBorder="1" applyAlignment="1">
      <alignment horizontal="center" vertical="center" shrinkToFit="1"/>
    </xf>
    <xf numFmtId="177" fontId="0" fillId="0" borderId="256" xfId="3" applyNumberFormat="1" applyFont="1" applyBorder="1" applyAlignment="1">
      <alignment horizontal="center" vertical="center" shrinkToFit="1"/>
    </xf>
    <xf numFmtId="177" fontId="0" fillId="0" borderId="83" xfId="3" applyNumberFormat="1" applyFont="1" applyBorder="1" applyAlignment="1">
      <alignment horizontal="center" vertical="center" shrinkToFit="1"/>
    </xf>
    <xf numFmtId="177" fontId="0" fillId="0" borderId="132" xfId="3" applyNumberFormat="1" applyFont="1" applyBorder="1" applyAlignment="1">
      <alignment horizontal="center" vertical="center" shrinkToFit="1"/>
    </xf>
    <xf numFmtId="177" fontId="3" fillId="0" borderId="137" xfId="3" applyNumberFormat="1" applyFont="1" applyBorder="1" applyAlignment="1">
      <alignment horizontal="center" vertical="center" shrinkToFit="1"/>
    </xf>
    <xf numFmtId="177" fontId="3" fillId="0" borderId="83" xfId="3" applyNumberFormat="1" applyFont="1" applyBorder="1" applyAlignment="1">
      <alignment horizontal="center" vertical="center" shrinkToFit="1"/>
    </xf>
    <xf numFmtId="177" fontId="3" fillId="0" borderId="138" xfId="3" applyNumberFormat="1" applyFont="1" applyBorder="1" applyAlignment="1">
      <alignment horizontal="center" vertical="center" shrinkToFit="1"/>
    </xf>
    <xf numFmtId="3" fontId="3" fillId="0" borderId="46" xfId="5" applyNumberFormat="1" applyFont="1" applyFill="1" applyBorder="1" applyAlignment="1">
      <alignment horizontal="center" vertical="center" shrinkToFit="1"/>
    </xf>
    <xf numFmtId="3" fontId="3" fillId="0" borderId="37" xfId="5" applyNumberFormat="1" applyFont="1" applyFill="1" applyBorder="1" applyAlignment="1">
      <alignment horizontal="center" vertical="center" shrinkToFit="1"/>
    </xf>
    <xf numFmtId="3" fontId="3" fillId="0" borderId="106" xfId="5" applyNumberFormat="1" applyFont="1" applyFill="1" applyBorder="1" applyAlignment="1">
      <alignment horizontal="center" vertical="center" shrinkToFit="1"/>
    </xf>
    <xf numFmtId="177" fontId="0" fillId="2" borderId="252" xfId="0" applyNumberFormat="1" applyFont="1" applyFill="1" applyBorder="1" applyAlignment="1">
      <alignment horizontal="center" vertical="center" shrinkToFit="1"/>
    </xf>
    <xf numFmtId="177" fontId="0" fillId="2" borderId="253" xfId="0" applyNumberFormat="1" applyFont="1" applyFill="1" applyBorder="1" applyAlignment="1">
      <alignment horizontal="center" vertical="center" shrinkToFit="1"/>
    </xf>
    <xf numFmtId="176" fontId="0" fillId="0" borderId="129" xfId="3" applyNumberFormat="1" applyFont="1" applyFill="1" applyBorder="1" applyAlignment="1">
      <alignment vertical="center" shrinkToFit="1"/>
    </xf>
    <xf numFmtId="176" fontId="0" fillId="0" borderId="130" xfId="3" applyNumberFormat="1" applyFont="1" applyFill="1" applyBorder="1" applyAlignment="1">
      <alignment vertical="center" shrinkToFit="1"/>
    </xf>
    <xf numFmtId="176" fontId="0" fillId="0" borderId="29" xfId="3" applyNumberFormat="1" applyFont="1" applyFill="1" applyBorder="1" applyAlignment="1">
      <alignment vertical="center" shrinkToFit="1"/>
    </xf>
    <xf numFmtId="176" fontId="0" fillId="0" borderId="241" xfId="3" applyNumberFormat="1" applyFont="1" applyFill="1" applyBorder="1" applyAlignment="1">
      <alignment vertical="center" shrinkToFit="1"/>
    </xf>
    <xf numFmtId="176" fontId="0" fillId="0" borderId="174" xfId="0" applyNumberFormat="1" applyFont="1" applyBorder="1" applyAlignment="1">
      <alignment horizontal="center" vertical="center" textRotation="255" shrinkToFit="1"/>
    </xf>
    <xf numFmtId="176" fontId="0" fillId="0" borderId="29" xfId="0" applyNumberFormat="1" applyFont="1" applyFill="1" applyBorder="1" applyAlignment="1">
      <alignment vertical="center"/>
    </xf>
    <xf numFmtId="176" fontId="0" fillId="0" borderId="241" xfId="0" applyNumberFormat="1" applyFont="1" applyFill="1" applyBorder="1" applyAlignment="1">
      <alignment vertical="center"/>
    </xf>
    <xf numFmtId="176" fontId="0" fillId="2" borderId="242" xfId="0" applyNumberFormat="1" applyFont="1" applyFill="1" applyBorder="1" applyAlignment="1">
      <alignment vertical="center" shrinkToFit="1"/>
    </xf>
    <xf numFmtId="176" fontId="0" fillId="0" borderId="242" xfId="0" applyNumberFormat="1" applyFont="1" applyBorder="1" applyAlignment="1">
      <alignment vertical="center"/>
    </xf>
    <xf numFmtId="176" fontId="0" fillId="2" borderId="58" xfId="0" applyNumberFormat="1" applyFont="1" applyFill="1" applyBorder="1" applyAlignment="1">
      <alignment horizontal="center" vertical="center" shrinkToFit="1"/>
    </xf>
    <xf numFmtId="176" fontId="0" fillId="2" borderId="93" xfId="0" applyNumberFormat="1" applyFont="1" applyFill="1" applyBorder="1" applyAlignment="1">
      <alignment horizontal="center" vertical="center" shrinkToFit="1"/>
    </xf>
  </cellXfs>
  <cellStyles count="30">
    <cellStyle name="パーセント" xfId="4" builtinId="5"/>
    <cellStyle name="パーセント 2" xfId="8"/>
    <cellStyle name="パーセント 3" xfId="16"/>
    <cellStyle name="パーセント 4" xfId="17"/>
    <cellStyle name="ハイパーリンク_20101209　経営改善計画検討手順（素案）" xfId="9"/>
    <cellStyle name="桁区切り" xfId="1" builtinId="6"/>
    <cellStyle name="桁区切り 2" xfId="7"/>
    <cellStyle name="桁区切り 3" xfId="15"/>
    <cellStyle name="桁区切り 3 2" xfId="18"/>
    <cellStyle name="桁区切り 4" xfId="12"/>
    <cellStyle name="桁区切り 4 2" xfId="14"/>
    <cellStyle name="桁区切り 5" xfId="19"/>
    <cellStyle name="桁区切り 6" xfId="20"/>
    <cellStyle name="桁区切り 7" xfId="21"/>
    <cellStyle name="桁区切り 8" xfId="22"/>
    <cellStyle name="桁区切り 9" xfId="23"/>
    <cellStyle name="標準" xfId="0" builtinId="0"/>
    <cellStyle name="標準 2" xfId="6"/>
    <cellStyle name="標準 2 2" xfId="24"/>
    <cellStyle name="標準 3" xfId="11"/>
    <cellStyle name="標準 3 2" xfId="13"/>
    <cellStyle name="標準 4" xfId="25"/>
    <cellStyle name="標準 5" xfId="26"/>
    <cellStyle name="標準 6" xfId="27"/>
    <cellStyle name="標準 7" xfId="28"/>
    <cellStyle name="標準 8" xfId="29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18</xdr:row>
      <xdr:rowOff>0</xdr:rowOff>
    </xdr:from>
    <xdr:to>
      <xdr:col>28</xdr:col>
      <xdr:colOff>13747</xdr:colOff>
      <xdr:row>19</xdr:row>
      <xdr:rowOff>4350</xdr:rowOff>
    </xdr:to>
    <xdr:sp macro="" textlink="">
      <xdr:nvSpPr>
        <xdr:cNvPr id="2" name="Rectangle 8" descr="10%"/>
        <xdr:cNvSpPr>
          <a:spLocks noChangeArrowheads="1"/>
        </xdr:cNvSpPr>
      </xdr:nvSpPr>
      <xdr:spPr bwMode="auto">
        <a:xfrm>
          <a:off x="8451564" y="4553527"/>
          <a:ext cx="521456" cy="253732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178594</xdr:colOff>
      <xdr:row>12</xdr:row>
      <xdr:rowOff>138546</xdr:rowOff>
    </xdr:from>
    <xdr:to>
      <xdr:col>41</xdr:col>
      <xdr:colOff>242454</xdr:colOff>
      <xdr:row>12</xdr:row>
      <xdr:rowOff>142875</xdr:rowOff>
    </xdr:to>
    <xdr:cxnSp macro="">
      <xdr:nvCxnSpPr>
        <xdr:cNvPr id="3" name="直線コネクタ 2"/>
        <xdr:cNvCxnSpPr/>
      </xdr:nvCxnSpPr>
      <xdr:spPr>
        <a:xfrm flipV="1">
          <a:off x="10382250" y="3281796"/>
          <a:ext cx="2421298" cy="432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</xdr:colOff>
      <xdr:row>12</xdr:row>
      <xdr:rowOff>136923</xdr:rowOff>
    </xdr:from>
    <xdr:to>
      <xdr:col>13</xdr:col>
      <xdr:colOff>35718</xdr:colOff>
      <xdr:row>12</xdr:row>
      <xdr:rowOff>142875</xdr:rowOff>
    </xdr:to>
    <xdr:cxnSp macro="">
      <xdr:nvCxnSpPr>
        <xdr:cNvPr id="4" name="直線コネクタ 3"/>
        <xdr:cNvCxnSpPr>
          <a:endCxn id="5" idx="1"/>
        </xdr:cNvCxnSpPr>
      </xdr:nvCxnSpPr>
      <xdr:spPr>
        <a:xfrm flipV="1">
          <a:off x="3369469" y="3280173"/>
          <a:ext cx="1893093" cy="595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35718</xdr:colOff>
      <xdr:row>12</xdr:row>
      <xdr:rowOff>47626</xdr:rowOff>
    </xdr:from>
    <xdr:to>
      <xdr:col>30</xdr:col>
      <xdr:colOff>250032</xdr:colOff>
      <xdr:row>12</xdr:row>
      <xdr:rowOff>226220</xdr:rowOff>
    </xdr:to>
    <xdr:sp macro="" textlink="">
      <xdr:nvSpPr>
        <xdr:cNvPr id="5" name="正方形/長方形 4"/>
        <xdr:cNvSpPr/>
      </xdr:nvSpPr>
      <xdr:spPr>
        <a:xfrm>
          <a:off x="5262562" y="3190876"/>
          <a:ext cx="4667251" cy="178594"/>
        </a:xfrm>
        <a:prstGeom prst="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164307</xdr:colOff>
      <xdr:row>13</xdr:row>
      <xdr:rowOff>150812</xdr:rowOff>
    </xdr:from>
    <xdr:to>
      <xdr:col>41</xdr:col>
      <xdr:colOff>242816</xdr:colOff>
      <xdr:row>13</xdr:row>
      <xdr:rowOff>157162</xdr:rowOff>
    </xdr:to>
    <xdr:cxnSp macro="">
      <xdr:nvCxnSpPr>
        <xdr:cNvPr id="11" name="直線コネクタ 10"/>
        <xdr:cNvCxnSpPr/>
      </xdr:nvCxnSpPr>
      <xdr:spPr>
        <a:xfrm flipV="1">
          <a:off x="10367963" y="3556000"/>
          <a:ext cx="2435947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5556</xdr:colOff>
      <xdr:row>13</xdr:row>
      <xdr:rowOff>136922</xdr:rowOff>
    </xdr:from>
    <xdr:to>
      <xdr:col>21</xdr:col>
      <xdr:colOff>0</xdr:colOff>
      <xdr:row>13</xdr:row>
      <xdr:rowOff>137824</xdr:rowOff>
    </xdr:to>
    <xdr:cxnSp macro="">
      <xdr:nvCxnSpPr>
        <xdr:cNvPr id="12" name="直線コネクタ 11"/>
        <xdr:cNvCxnSpPr>
          <a:endCxn id="23" idx="1"/>
        </xdr:cNvCxnSpPr>
      </xdr:nvCxnSpPr>
      <xdr:spPr>
        <a:xfrm flipV="1">
          <a:off x="3363119" y="3542110"/>
          <a:ext cx="3959225" cy="90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</xdr:colOff>
      <xdr:row>13</xdr:row>
      <xdr:rowOff>47625</xdr:rowOff>
    </xdr:from>
    <xdr:to>
      <xdr:col>19</xdr:col>
      <xdr:colOff>23812</xdr:colOff>
      <xdr:row>13</xdr:row>
      <xdr:rowOff>226218</xdr:rowOff>
    </xdr:to>
    <xdr:sp macro="" textlink="">
      <xdr:nvSpPr>
        <xdr:cNvPr id="19" name="Rectangle 8" descr="10%"/>
        <xdr:cNvSpPr>
          <a:spLocks noChangeArrowheads="1"/>
        </xdr:cNvSpPr>
      </xdr:nvSpPr>
      <xdr:spPr bwMode="auto">
        <a:xfrm>
          <a:off x="6536532" y="3452813"/>
          <a:ext cx="285749" cy="178593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13</xdr:row>
      <xdr:rowOff>47625</xdr:rowOff>
    </xdr:from>
    <xdr:to>
      <xdr:col>22</xdr:col>
      <xdr:colOff>23812</xdr:colOff>
      <xdr:row>13</xdr:row>
      <xdr:rowOff>226218</xdr:rowOff>
    </xdr:to>
    <xdr:sp macro="" textlink="">
      <xdr:nvSpPr>
        <xdr:cNvPr id="23" name="Rectangle 8" descr="10%"/>
        <xdr:cNvSpPr>
          <a:spLocks noChangeArrowheads="1"/>
        </xdr:cNvSpPr>
      </xdr:nvSpPr>
      <xdr:spPr bwMode="auto">
        <a:xfrm>
          <a:off x="7322344" y="3452813"/>
          <a:ext cx="285749" cy="178593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11906</xdr:colOff>
      <xdr:row>14</xdr:row>
      <xdr:rowOff>47626</xdr:rowOff>
    </xdr:from>
    <xdr:to>
      <xdr:col>38</xdr:col>
      <xdr:colOff>0</xdr:colOff>
      <xdr:row>14</xdr:row>
      <xdr:rowOff>214314</xdr:rowOff>
    </xdr:to>
    <xdr:sp macro="" textlink="">
      <xdr:nvSpPr>
        <xdr:cNvPr id="25" name="Rectangle 8" descr="10%"/>
        <xdr:cNvSpPr>
          <a:spLocks noChangeArrowheads="1"/>
        </xdr:cNvSpPr>
      </xdr:nvSpPr>
      <xdr:spPr bwMode="auto">
        <a:xfrm>
          <a:off x="10477500" y="3714751"/>
          <a:ext cx="1297781" cy="166688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</xdr:colOff>
      <xdr:row>5</xdr:row>
      <xdr:rowOff>154781</xdr:rowOff>
    </xdr:from>
    <xdr:to>
      <xdr:col>39</xdr:col>
      <xdr:colOff>0</xdr:colOff>
      <xdr:row>5</xdr:row>
      <xdr:rowOff>166687</xdr:rowOff>
    </xdr:to>
    <xdr:cxnSp macro="">
      <xdr:nvCxnSpPr>
        <xdr:cNvPr id="2" name="直線矢印コネクタ 1"/>
        <xdr:cNvCxnSpPr/>
      </xdr:nvCxnSpPr>
      <xdr:spPr>
        <a:xfrm>
          <a:off x="1774031" y="1421606"/>
          <a:ext cx="16790194" cy="1190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23813</xdr:colOff>
      <xdr:row>6</xdr:row>
      <xdr:rowOff>130969</xdr:rowOff>
    </xdr:from>
    <xdr:to>
      <xdr:col>39</xdr:col>
      <xdr:colOff>0</xdr:colOff>
      <xdr:row>6</xdr:row>
      <xdr:rowOff>142876</xdr:rowOff>
    </xdr:to>
    <xdr:cxnSp macro="">
      <xdr:nvCxnSpPr>
        <xdr:cNvPr id="3" name="直線コネクタ 2"/>
        <xdr:cNvCxnSpPr>
          <a:stCxn id="8" idx="3"/>
        </xdr:cNvCxnSpPr>
      </xdr:nvCxnSpPr>
      <xdr:spPr>
        <a:xfrm>
          <a:off x="14387513" y="1654969"/>
          <a:ext cx="4176712" cy="119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6</xdr:row>
      <xdr:rowOff>130968</xdr:rowOff>
    </xdr:from>
    <xdr:to>
      <xdr:col>15</xdr:col>
      <xdr:colOff>0</xdr:colOff>
      <xdr:row>6</xdr:row>
      <xdr:rowOff>130968</xdr:rowOff>
    </xdr:to>
    <xdr:cxnSp macro="">
      <xdr:nvCxnSpPr>
        <xdr:cNvPr id="4" name="直線コネクタ 3"/>
        <xdr:cNvCxnSpPr/>
      </xdr:nvCxnSpPr>
      <xdr:spPr>
        <a:xfrm>
          <a:off x="1774031" y="1654968"/>
          <a:ext cx="55887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23814</xdr:colOff>
      <xdr:row>6</xdr:row>
      <xdr:rowOff>23813</xdr:rowOff>
    </xdr:from>
    <xdr:to>
      <xdr:col>16</xdr:col>
      <xdr:colOff>11906</xdr:colOff>
      <xdr:row>6</xdr:row>
      <xdr:rowOff>214313</xdr:rowOff>
    </xdr:to>
    <xdr:sp macro="" textlink="">
      <xdr:nvSpPr>
        <xdr:cNvPr id="5" name="正方形/長方形 4"/>
        <xdr:cNvSpPr/>
      </xdr:nvSpPr>
      <xdr:spPr>
        <a:xfrm>
          <a:off x="7386639" y="1547813"/>
          <a:ext cx="454817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11906</xdr:colOff>
      <xdr:row>6</xdr:row>
      <xdr:rowOff>119063</xdr:rowOff>
    </xdr:from>
    <xdr:to>
      <xdr:col>18</xdr:col>
      <xdr:colOff>23813</xdr:colOff>
      <xdr:row>6</xdr:row>
      <xdr:rowOff>130969</xdr:rowOff>
    </xdr:to>
    <xdr:cxnSp macro="">
      <xdr:nvCxnSpPr>
        <xdr:cNvPr id="6" name="直線コネクタ 5"/>
        <xdr:cNvCxnSpPr>
          <a:stCxn id="5" idx="3"/>
          <a:endCxn id="7" idx="1"/>
        </xdr:cNvCxnSpPr>
      </xdr:nvCxnSpPr>
      <xdr:spPr>
        <a:xfrm>
          <a:off x="7841456" y="1643063"/>
          <a:ext cx="945357" cy="11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23813</xdr:colOff>
      <xdr:row>6</xdr:row>
      <xdr:rowOff>35718</xdr:rowOff>
    </xdr:from>
    <xdr:to>
      <xdr:col>18</xdr:col>
      <xdr:colOff>464343</xdr:colOff>
      <xdr:row>6</xdr:row>
      <xdr:rowOff>226219</xdr:rowOff>
    </xdr:to>
    <xdr:sp macro="" textlink="">
      <xdr:nvSpPr>
        <xdr:cNvPr id="7" name="正方形/長方形 6"/>
        <xdr:cNvSpPr/>
      </xdr:nvSpPr>
      <xdr:spPr>
        <a:xfrm>
          <a:off x="8786813" y="1559718"/>
          <a:ext cx="440530" cy="1905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採草</a:t>
          </a: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35719</xdr:colOff>
      <xdr:row>6</xdr:row>
      <xdr:rowOff>35719</xdr:rowOff>
    </xdr:from>
    <xdr:to>
      <xdr:col>30</xdr:col>
      <xdr:colOff>23813</xdr:colOff>
      <xdr:row>6</xdr:row>
      <xdr:rowOff>226219</xdr:rowOff>
    </xdr:to>
    <xdr:sp macro="" textlink="">
      <xdr:nvSpPr>
        <xdr:cNvPr id="8" name="正方形/長方形 7"/>
        <xdr:cNvSpPr/>
      </xdr:nvSpPr>
      <xdr:spPr>
        <a:xfrm>
          <a:off x="13932694" y="1559719"/>
          <a:ext cx="454819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播種</a:t>
          </a:r>
        </a:p>
      </xdr:txBody>
    </xdr:sp>
    <xdr:clientData/>
  </xdr:twoCellAnchor>
  <xdr:twoCellAnchor>
    <xdr:from>
      <xdr:col>10</xdr:col>
      <xdr:colOff>11906</xdr:colOff>
      <xdr:row>7</xdr:row>
      <xdr:rowOff>59530</xdr:rowOff>
    </xdr:from>
    <xdr:to>
      <xdr:col>28</xdr:col>
      <xdr:colOff>11906</xdr:colOff>
      <xdr:row>7</xdr:row>
      <xdr:rowOff>226217</xdr:rowOff>
    </xdr:to>
    <xdr:sp macro="" textlink="">
      <xdr:nvSpPr>
        <xdr:cNvPr id="9" name="正方形/長方形 8"/>
        <xdr:cNvSpPr/>
      </xdr:nvSpPr>
      <xdr:spPr>
        <a:xfrm>
          <a:off x="5155406" y="1845468"/>
          <a:ext cx="8358188" cy="16668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　　　　　　　　　　　　　　　　　　　　　　放　　牧　　（期間中に飼料用ヒエを追播）</a:t>
          </a:r>
        </a:p>
      </xdr:txBody>
    </xdr:sp>
    <xdr:clientData/>
  </xdr:twoCellAnchor>
  <xdr:twoCellAnchor>
    <xdr:from>
      <xdr:col>9</xdr:col>
      <xdr:colOff>214312</xdr:colOff>
      <xdr:row>6</xdr:row>
      <xdr:rowOff>119062</xdr:rowOff>
    </xdr:from>
    <xdr:to>
      <xdr:col>9</xdr:col>
      <xdr:colOff>214312</xdr:colOff>
      <xdr:row>7</xdr:row>
      <xdr:rowOff>154781</xdr:rowOff>
    </xdr:to>
    <xdr:cxnSp macro="">
      <xdr:nvCxnSpPr>
        <xdr:cNvPr id="10" name="直線コネクタ 9"/>
        <xdr:cNvCxnSpPr/>
      </xdr:nvCxnSpPr>
      <xdr:spPr>
        <a:xfrm>
          <a:off x="4776787" y="1643062"/>
          <a:ext cx="0" cy="29289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202406</xdr:colOff>
      <xdr:row>7</xdr:row>
      <xdr:rowOff>142874</xdr:rowOff>
    </xdr:from>
    <xdr:to>
      <xdr:col>10</xdr:col>
      <xdr:colOff>11906</xdr:colOff>
      <xdr:row>7</xdr:row>
      <xdr:rowOff>142874</xdr:rowOff>
    </xdr:to>
    <xdr:cxnSp macro="">
      <xdr:nvCxnSpPr>
        <xdr:cNvPr id="11" name="直線コネクタ 10"/>
        <xdr:cNvCxnSpPr>
          <a:endCxn id="9" idx="1"/>
        </xdr:cNvCxnSpPr>
      </xdr:nvCxnSpPr>
      <xdr:spPr>
        <a:xfrm>
          <a:off x="4764881" y="1924049"/>
          <a:ext cx="276225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</xdr:row>
      <xdr:rowOff>59531</xdr:rowOff>
    </xdr:from>
    <xdr:to>
      <xdr:col>35</xdr:col>
      <xdr:colOff>11906</xdr:colOff>
      <xdr:row>8</xdr:row>
      <xdr:rowOff>214312</xdr:rowOff>
    </xdr:to>
    <xdr:sp macro="" textlink="">
      <xdr:nvSpPr>
        <xdr:cNvPr id="12" name="正方形/長方形 11"/>
        <xdr:cNvSpPr/>
      </xdr:nvSpPr>
      <xdr:spPr>
        <a:xfrm>
          <a:off x="14363700" y="2097881"/>
          <a:ext cx="2345531" cy="15478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稲ワラ収集・交換堆肥散布</a:t>
          </a:r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45" customWidth="1"/>
    <col min="2" max="3" width="7.625" style="45" customWidth="1"/>
    <col min="4" max="6" width="9" style="45"/>
    <col min="7" max="7" width="3.5" style="45" customWidth="1"/>
    <col min="8" max="8" width="3.625" style="45" customWidth="1"/>
    <col min="9" max="9" width="3.75" style="45" customWidth="1"/>
    <col min="10" max="42" width="3.5" style="45" customWidth="1"/>
    <col min="43" max="43" width="1.375" style="45" customWidth="1"/>
    <col min="44" max="16384" width="9" style="45"/>
  </cols>
  <sheetData>
    <row r="1" spans="1:42" ht="9.9499999999999993" customHeight="1" thickBot="1" x14ac:dyDescent="0.2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42" ht="39.950000000000003" customHeight="1" thickBot="1" x14ac:dyDescent="0.2">
      <c r="A2" s="58"/>
      <c r="B2" s="274" t="s">
        <v>181</v>
      </c>
      <c r="C2" s="635" t="s">
        <v>175</v>
      </c>
      <c r="D2" s="636"/>
      <c r="E2" s="275" t="s">
        <v>43</v>
      </c>
      <c r="F2" s="635" t="s">
        <v>329</v>
      </c>
      <c r="G2" s="637"/>
      <c r="H2" s="637"/>
      <c r="I2" s="637"/>
      <c r="J2" s="637"/>
      <c r="K2" s="637"/>
      <c r="L2" s="637"/>
      <c r="M2" s="637"/>
      <c r="N2" s="636"/>
      <c r="O2" s="638" t="s">
        <v>44</v>
      </c>
      <c r="P2" s="639"/>
      <c r="Q2" s="640"/>
      <c r="R2" s="641" t="s">
        <v>447</v>
      </c>
      <c r="S2" s="642"/>
      <c r="T2" s="642"/>
      <c r="U2" s="642"/>
      <c r="V2" s="641" t="s">
        <v>45</v>
      </c>
      <c r="W2" s="642"/>
      <c r="X2" s="642"/>
      <c r="Y2" s="632" t="s">
        <v>176</v>
      </c>
      <c r="Z2" s="633"/>
      <c r="AA2" s="634"/>
      <c r="AB2" s="59"/>
      <c r="AC2" s="59"/>
      <c r="AD2" s="59"/>
    </row>
    <row r="3" spans="1:42" ht="9.9499999999999993" customHeight="1" x14ac:dyDescent="0.15">
      <c r="B3" s="60"/>
    </row>
    <row r="4" spans="1:42" ht="24.95" customHeight="1" thickBot="1" x14ac:dyDescent="0.2">
      <c r="B4" s="45" t="s">
        <v>182</v>
      </c>
    </row>
    <row r="5" spans="1:42" ht="20.25" customHeight="1" x14ac:dyDescent="0.15">
      <c r="B5" s="643" t="s">
        <v>183</v>
      </c>
      <c r="C5" s="583"/>
      <c r="D5" s="644" t="s">
        <v>484</v>
      </c>
      <c r="E5" s="645"/>
      <c r="F5" s="645"/>
      <c r="G5" s="646"/>
      <c r="H5" s="582" t="s">
        <v>184</v>
      </c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3"/>
      <c r="AA5" s="585"/>
      <c r="AD5" s="59"/>
      <c r="AE5" s="59"/>
      <c r="AF5" s="59"/>
      <c r="AG5" s="59"/>
      <c r="AH5" s="59"/>
      <c r="AI5" s="59"/>
      <c r="AJ5" s="59"/>
      <c r="AK5" s="59"/>
      <c r="AL5" s="59"/>
    </row>
    <row r="6" spans="1:42" ht="20.25" customHeight="1" x14ac:dyDescent="0.15">
      <c r="B6" s="597" t="s">
        <v>185</v>
      </c>
      <c r="C6" s="598"/>
      <c r="D6" s="598"/>
      <c r="E6" s="598"/>
      <c r="F6" s="598"/>
      <c r="G6" s="603"/>
      <c r="H6" s="603" t="s">
        <v>186</v>
      </c>
      <c r="I6" s="604"/>
      <c r="J6" s="604"/>
      <c r="K6" s="604"/>
      <c r="L6" s="604"/>
      <c r="M6" s="604"/>
      <c r="N6" s="603" t="s">
        <v>46</v>
      </c>
      <c r="O6" s="604"/>
      <c r="P6" s="604"/>
      <c r="Q6" s="603" t="s">
        <v>187</v>
      </c>
      <c r="R6" s="604"/>
      <c r="S6" s="604"/>
      <c r="T6" s="604"/>
      <c r="U6" s="604"/>
      <c r="V6" s="604"/>
      <c r="W6" s="604"/>
      <c r="X6" s="605"/>
      <c r="Y6" s="604" t="s">
        <v>188</v>
      </c>
      <c r="Z6" s="604"/>
      <c r="AA6" s="609"/>
    </row>
    <row r="7" spans="1:42" ht="20.25" customHeight="1" x14ac:dyDescent="0.15">
      <c r="B7" s="619" t="s">
        <v>189</v>
      </c>
      <c r="C7" s="620"/>
      <c r="D7" s="623" t="s">
        <v>285</v>
      </c>
      <c r="E7" s="548"/>
      <c r="F7" s="548"/>
      <c r="G7" s="548"/>
      <c r="H7" s="603" t="s">
        <v>178</v>
      </c>
      <c r="I7" s="604"/>
      <c r="J7" s="604"/>
      <c r="K7" s="604"/>
      <c r="L7" s="604"/>
      <c r="M7" s="605"/>
      <c r="N7" s="624" t="s">
        <v>190</v>
      </c>
      <c r="O7" s="625"/>
      <c r="P7" s="620"/>
      <c r="Q7" s="626"/>
      <c r="R7" s="627"/>
      <c r="S7" s="627"/>
      <c r="T7" s="627"/>
      <c r="U7" s="627"/>
      <c r="V7" s="627"/>
      <c r="W7" s="627"/>
      <c r="X7" s="628"/>
      <c r="Y7" s="629"/>
      <c r="Z7" s="629"/>
      <c r="AA7" s="630"/>
    </row>
    <row r="8" spans="1:42" ht="20.25" customHeight="1" x14ac:dyDescent="0.15">
      <c r="B8" s="621"/>
      <c r="C8" s="622"/>
      <c r="D8" s="631"/>
      <c r="E8" s="607"/>
      <c r="F8" s="607"/>
      <c r="G8" s="608"/>
      <c r="H8" s="603"/>
      <c r="I8" s="604"/>
      <c r="J8" s="604"/>
      <c r="K8" s="604"/>
      <c r="L8" s="604"/>
      <c r="M8" s="605"/>
      <c r="N8" s="603"/>
      <c r="O8" s="604"/>
      <c r="P8" s="605"/>
      <c r="Q8" s="606"/>
      <c r="R8" s="607"/>
      <c r="S8" s="607"/>
      <c r="T8" s="607"/>
      <c r="U8" s="607"/>
      <c r="V8" s="607"/>
      <c r="W8" s="607"/>
      <c r="X8" s="608"/>
      <c r="Y8" s="603"/>
      <c r="Z8" s="604"/>
      <c r="AA8" s="609"/>
    </row>
    <row r="9" spans="1:42" ht="20.25" customHeight="1" x14ac:dyDescent="0.15">
      <c r="B9" s="597" t="s">
        <v>177</v>
      </c>
      <c r="C9" s="598"/>
      <c r="D9" s="599"/>
      <c r="E9" s="599"/>
      <c r="F9" s="599"/>
      <c r="G9" s="600"/>
      <c r="H9" s="603"/>
      <c r="I9" s="604"/>
      <c r="J9" s="604"/>
      <c r="K9" s="604"/>
      <c r="L9" s="604"/>
      <c r="M9" s="605"/>
      <c r="N9" s="603"/>
      <c r="O9" s="604"/>
      <c r="P9" s="605"/>
      <c r="Q9" s="606"/>
      <c r="R9" s="607"/>
      <c r="S9" s="607"/>
      <c r="T9" s="607"/>
      <c r="U9" s="607"/>
      <c r="V9" s="607"/>
      <c r="W9" s="607"/>
      <c r="X9" s="608"/>
      <c r="Y9" s="603"/>
      <c r="Z9" s="604"/>
      <c r="AA9" s="609"/>
    </row>
    <row r="10" spans="1:42" ht="20.25" customHeight="1" x14ac:dyDescent="0.15">
      <c r="B10" s="597" t="s">
        <v>191</v>
      </c>
      <c r="C10" s="598"/>
      <c r="D10" s="599"/>
      <c r="E10" s="599"/>
      <c r="F10" s="599"/>
      <c r="G10" s="600"/>
      <c r="H10" s="601"/>
      <c r="I10" s="602"/>
      <c r="J10" s="602"/>
      <c r="K10" s="602"/>
      <c r="L10" s="602"/>
      <c r="M10" s="602"/>
      <c r="N10" s="603"/>
      <c r="O10" s="604"/>
      <c r="P10" s="605"/>
      <c r="Q10" s="606"/>
      <c r="R10" s="607"/>
      <c r="S10" s="607"/>
      <c r="T10" s="607"/>
      <c r="U10" s="607"/>
      <c r="V10" s="607"/>
      <c r="W10" s="607"/>
      <c r="X10" s="608"/>
      <c r="Y10" s="604"/>
      <c r="Z10" s="604"/>
      <c r="AA10" s="609"/>
    </row>
    <row r="11" spans="1:42" ht="20.25" customHeight="1" thickBot="1" x14ac:dyDescent="0.2">
      <c r="B11" s="542" t="s">
        <v>47</v>
      </c>
      <c r="C11" s="610"/>
      <c r="D11" s="611"/>
      <c r="E11" s="611"/>
      <c r="F11" s="611"/>
      <c r="G11" s="612"/>
      <c r="H11" s="613"/>
      <c r="I11" s="614"/>
      <c r="J11" s="614"/>
      <c r="K11" s="614"/>
      <c r="L11" s="614"/>
      <c r="M11" s="614"/>
      <c r="N11" s="615"/>
      <c r="O11" s="595"/>
      <c r="P11" s="595"/>
      <c r="Q11" s="616"/>
      <c r="R11" s="617"/>
      <c r="S11" s="617"/>
      <c r="T11" s="617"/>
      <c r="U11" s="617"/>
      <c r="V11" s="617"/>
      <c r="W11" s="617"/>
      <c r="X11" s="618"/>
      <c r="Y11" s="595"/>
      <c r="Z11" s="595"/>
      <c r="AA11" s="596"/>
    </row>
    <row r="12" spans="1:42" ht="20.25" customHeight="1" x14ac:dyDescent="0.15">
      <c r="B12" s="593" t="s">
        <v>67</v>
      </c>
      <c r="C12" s="582" t="s">
        <v>192</v>
      </c>
      <c r="D12" s="583"/>
      <c r="E12" s="584"/>
      <c r="F12" s="276" t="s">
        <v>193</v>
      </c>
      <c r="G12" s="582">
        <v>1</v>
      </c>
      <c r="H12" s="583"/>
      <c r="I12" s="583"/>
      <c r="J12" s="582">
        <v>2</v>
      </c>
      <c r="K12" s="583"/>
      <c r="L12" s="584"/>
      <c r="M12" s="583">
        <v>3</v>
      </c>
      <c r="N12" s="583"/>
      <c r="O12" s="592"/>
      <c r="P12" s="582">
        <v>4</v>
      </c>
      <c r="Q12" s="583"/>
      <c r="R12" s="584"/>
      <c r="S12" s="591">
        <v>5</v>
      </c>
      <c r="T12" s="583"/>
      <c r="U12" s="592"/>
      <c r="V12" s="582">
        <v>6</v>
      </c>
      <c r="W12" s="583"/>
      <c r="X12" s="584"/>
      <c r="Y12" s="591">
        <v>7</v>
      </c>
      <c r="Z12" s="583"/>
      <c r="AA12" s="592"/>
      <c r="AB12" s="582">
        <v>8</v>
      </c>
      <c r="AC12" s="583"/>
      <c r="AD12" s="584"/>
      <c r="AE12" s="591">
        <v>9</v>
      </c>
      <c r="AF12" s="583"/>
      <c r="AG12" s="592"/>
      <c r="AH12" s="582">
        <v>10</v>
      </c>
      <c r="AI12" s="583"/>
      <c r="AJ12" s="584"/>
      <c r="AK12" s="582">
        <v>11</v>
      </c>
      <c r="AL12" s="583"/>
      <c r="AM12" s="584"/>
      <c r="AN12" s="583">
        <v>12</v>
      </c>
      <c r="AO12" s="583"/>
      <c r="AP12" s="585"/>
    </row>
    <row r="13" spans="1:42" ht="20.25" customHeight="1" x14ac:dyDescent="0.15">
      <c r="B13" s="594"/>
      <c r="C13" s="586" t="s">
        <v>443</v>
      </c>
      <c r="D13" s="587"/>
      <c r="E13" s="588"/>
      <c r="F13" s="61" t="s">
        <v>194</v>
      </c>
      <c r="G13" s="265"/>
      <c r="H13" s="266"/>
      <c r="I13" s="266"/>
      <c r="J13" s="265"/>
      <c r="K13" s="266"/>
      <c r="L13" s="62"/>
      <c r="M13" s="266"/>
      <c r="N13" s="266"/>
      <c r="O13" s="63"/>
      <c r="P13" s="265"/>
      <c r="Q13" s="266"/>
      <c r="R13" s="62"/>
      <c r="S13" s="64"/>
      <c r="T13" s="266"/>
      <c r="U13" s="63"/>
      <c r="V13" s="265"/>
      <c r="W13" s="266"/>
      <c r="X13" s="62"/>
      <c r="Y13" s="64"/>
      <c r="Z13" s="266"/>
      <c r="AA13" s="63"/>
      <c r="AB13" s="265"/>
      <c r="AC13" s="266"/>
      <c r="AD13" s="62"/>
      <c r="AE13" s="260"/>
      <c r="AF13" s="259"/>
      <c r="AG13" s="62" t="s">
        <v>444</v>
      </c>
      <c r="AH13" s="260"/>
      <c r="AI13" s="259"/>
      <c r="AJ13" s="62"/>
      <c r="AK13" s="265"/>
      <c r="AL13" s="266"/>
      <c r="AM13" s="62"/>
      <c r="AN13" s="266"/>
      <c r="AO13" s="266"/>
      <c r="AP13" s="267"/>
    </row>
    <row r="14" spans="1:42" ht="20.25" customHeight="1" x14ac:dyDescent="0.15">
      <c r="B14" s="594"/>
      <c r="C14" s="589" t="s">
        <v>428</v>
      </c>
      <c r="D14" s="590"/>
      <c r="E14" s="590"/>
      <c r="F14" s="61" t="s">
        <v>195</v>
      </c>
      <c r="G14" s="277"/>
      <c r="H14" s="261"/>
      <c r="I14" s="261"/>
      <c r="J14" s="277"/>
      <c r="K14" s="261"/>
      <c r="L14" s="65"/>
      <c r="M14" s="261"/>
      <c r="N14" s="261"/>
      <c r="O14" s="66"/>
      <c r="P14" s="277"/>
      <c r="Q14" s="261"/>
      <c r="R14" s="65"/>
      <c r="S14" s="67"/>
      <c r="T14" s="279"/>
      <c r="U14" s="261"/>
      <c r="V14" s="262"/>
      <c r="W14" s="279"/>
      <c r="X14" s="65"/>
      <c r="Y14" s="67"/>
      <c r="Z14" s="261"/>
      <c r="AA14" s="66"/>
      <c r="AB14" s="277"/>
      <c r="AC14" s="261"/>
      <c r="AD14" s="65"/>
      <c r="AE14" s="277"/>
      <c r="AF14" s="261"/>
      <c r="AG14" s="264" t="s">
        <v>425</v>
      </c>
      <c r="AH14" s="277"/>
      <c r="AI14" s="261"/>
      <c r="AJ14" s="65"/>
      <c r="AK14" s="277"/>
      <c r="AL14" s="261"/>
      <c r="AM14" s="65"/>
      <c r="AN14" s="261"/>
      <c r="AO14" s="261"/>
      <c r="AP14" s="278"/>
    </row>
    <row r="15" spans="1:42" ht="20.25" customHeight="1" x14ac:dyDescent="0.15">
      <c r="B15" s="594"/>
      <c r="C15" s="589" t="s">
        <v>298</v>
      </c>
      <c r="D15" s="590"/>
      <c r="E15" s="590"/>
      <c r="F15" s="61" t="s">
        <v>423</v>
      </c>
      <c r="G15" s="277"/>
      <c r="H15" s="261"/>
      <c r="I15" s="261"/>
      <c r="J15" s="277"/>
      <c r="K15" s="261"/>
      <c r="L15" s="65"/>
      <c r="M15" s="261"/>
      <c r="N15" s="261"/>
      <c r="O15" s="66"/>
      <c r="P15" s="277"/>
      <c r="Q15" s="261"/>
      <c r="R15" s="65"/>
      <c r="S15" s="263"/>
      <c r="T15" s="261"/>
      <c r="U15" s="66"/>
      <c r="V15" s="277"/>
      <c r="W15" s="279"/>
      <c r="X15" s="264"/>
      <c r="Y15" s="67"/>
      <c r="Z15" s="261"/>
      <c r="AA15" s="66"/>
      <c r="AB15" s="277"/>
      <c r="AC15" s="261"/>
      <c r="AD15" s="65"/>
      <c r="AE15" s="479"/>
      <c r="AF15" s="259"/>
      <c r="AG15" s="264"/>
      <c r="AH15" s="260"/>
      <c r="AI15" s="261"/>
      <c r="AJ15" s="65"/>
      <c r="AK15" s="277"/>
      <c r="AL15" s="261"/>
      <c r="AM15" s="65"/>
      <c r="AN15" s="261"/>
      <c r="AO15" s="261"/>
      <c r="AP15" s="278"/>
    </row>
    <row r="16" spans="1:42" ht="20.25" customHeight="1" x14ac:dyDescent="0.15">
      <c r="B16" s="594"/>
      <c r="C16" s="589"/>
      <c r="D16" s="590"/>
      <c r="E16" s="590"/>
      <c r="F16" s="61"/>
      <c r="G16" s="277"/>
      <c r="H16" s="261"/>
      <c r="I16" s="261"/>
      <c r="J16" s="277"/>
      <c r="K16" s="261"/>
      <c r="L16" s="65"/>
      <c r="M16" s="261"/>
      <c r="N16" s="261"/>
      <c r="O16" s="66"/>
      <c r="P16" s="277"/>
      <c r="Q16" s="261"/>
      <c r="R16" s="65"/>
      <c r="S16" s="67"/>
      <c r="T16" s="261"/>
      <c r="U16" s="66"/>
      <c r="V16" s="277"/>
      <c r="W16" s="261"/>
      <c r="X16" s="65"/>
      <c r="Y16" s="67"/>
      <c r="Z16" s="261"/>
      <c r="AA16" s="66"/>
      <c r="AB16" s="277"/>
      <c r="AC16" s="261"/>
      <c r="AD16" s="65"/>
      <c r="AE16" s="277"/>
      <c r="AF16" s="259"/>
      <c r="AG16" s="65"/>
      <c r="AH16" s="348"/>
      <c r="AI16" s="279"/>
      <c r="AJ16" s="481"/>
      <c r="AK16" s="277"/>
      <c r="AL16" s="261"/>
      <c r="AM16" s="65"/>
      <c r="AN16" s="261"/>
      <c r="AO16" s="261"/>
      <c r="AP16" s="278"/>
    </row>
    <row r="17" spans="2:42" ht="20.25" customHeight="1" x14ac:dyDescent="0.15">
      <c r="B17" s="594"/>
      <c r="C17" s="589"/>
      <c r="D17" s="590"/>
      <c r="E17" s="590"/>
      <c r="F17" s="68"/>
      <c r="G17" s="277"/>
      <c r="H17" s="261"/>
      <c r="I17" s="261"/>
      <c r="J17" s="277"/>
      <c r="K17" s="261"/>
      <c r="L17" s="65"/>
      <c r="M17" s="261"/>
      <c r="N17" s="261"/>
      <c r="O17" s="66"/>
      <c r="P17" s="277"/>
      <c r="Q17" s="261"/>
      <c r="R17" s="65"/>
      <c r="S17" s="67"/>
      <c r="T17" s="261"/>
      <c r="U17" s="66"/>
      <c r="V17" s="277"/>
      <c r="W17" s="261"/>
      <c r="X17" s="65"/>
      <c r="Y17" s="67"/>
      <c r="Z17" s="261"/>
      <c r="AA17" s="66"/>
      <c r="AB17" s="277"/>
      <c r="AC17" s="261"/>
      <c r="AD17" s="65"/>
      <c r="AE17" s="277"/>
      <c r="AF17" s="261"/>
      <c r="AG17" s="65"/>
      <c r="AH17" s="277"/>
      <c r="AI17" s="261"/>
      <c r="AJ17" s="65"/>
      <c r="AK17" s="277"/>
      <c r="AL17" s="261"/>
      <c r="AM17" s="65"/>
      <c r="AN17" s="261"/>
      <c r="AO17" s="261"/>
      <c r="AP17" s="278"/>
    </row>
    <row r="18" spans="2:42" ht="20.25" customHeight="1" x14ac:dyDescent="0.15">
      <c r="B18" s="540" t="s">
        <v>196</v>
      </c>
      <c r="C18" s="543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5"/>
    </row>
    <row r="19" spans="2:42" ht="20.25" customHeight="1" x14ac:dyDescent="0.15">
      <c r="B19" s="541"/>
      <c r="C19" s="546" t="s">
        <v>483</v>
      </c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268"/>
      <c r="W19" s="268"/>
      <c r="Y19" s="548" t="s">
        <v>197</v>
      </c>
      <c r="Z19" s="548"/>
      <c r="AA19" s="548"/>
      <c r="AB19" s="548"/>
      <c r="AC19" s="268"/>
      <c r="AD19" s="268"/>
      <c r="AI19" s="268"/>
      <c r="AJ19" s="268"/>
      <c r="AK19" s="268"/>
      <c r="AL19" s="268"/>
      <c r="AM19" s="268"/>
      <c r="AN19" s="268"/>
      <c r="AO19" s="268"/>
      <c r="AP19" s="69"/>
    </row>
    <row r="20" spans="2:42" ht="20.25" customHeight="1" thickBot="1" x14ac:dyDescent="0.2">
      <c r="B20" s="542"/>
      <c r="C20" s="549"/>
      <c r="D20" s="550"/>
      <c r="E20" s="550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  <c r="AK20" s="550"/>
      <c r="AL20" s="550"/>
      <c r="AM20" s="550"/>
      <c r="AN20" s="550"/>
      <c r="AO20" s="550"/>
      <c r="AP20" s="551"/>
    </row>
    <row r="21" spans="2:42" ht="9.9499999999999993" customHeight="1" x14ac:dyDescent="0.15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2:42" ht="24.95" customHeight="1" thickBot="1" x14ac:dyDescent="0.2">
      <c r="B22" s="45" t="s">
        <v>198</v>
      </c>
    </row>
    <row r="23" spans="2:42" ht="20.25" customHeight="1" thickBot="1" x14ac:dyDescent="0.2">
      <c r="B23" s="552" t="s">
        <v>12</v>
      </c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4"/>
      <c r="O23" s="555" t="s">
        <v>11</v>
      </c>
      <c r="P23" s="556"/>
      <c r="Q23" s="556"/>
      <c r="R23" s="556"/>
      <c r="S23" s="556"/>
      <c r="T23" s="556"/>
      <c r="U23" s="556"/>
      <c r="V23" s="556"/>
      <c r="W23" s="556"/>
      <c r="X23" s="556"/>
      <c r="Y23" s="556"/>
      <c r="Z23" s="556"/>
      <c r="AA23" s="556"/>
      <c r="AB23" s="556"/>
      <c r="AC23" s="556"/>
      <c r="AD23" s="556"/>
      <c r="AE23" s="556"/>
      <c r="AF23" s="556"/>
      <c r="AG23" s="556"/>
      <c r="AH23" s="556"/>
      <c r="AI23" s="556"/>
      <c r="AJ23" s="556"/>
      <c r="AK23" s="556"/>
      <c r="AL23" s="556"/>
      <c r="AM23" s="556"/>
      <c r="AN23" s="556"/>
      <c r="AO23" s="556"/>
      <c r="AP23" s="557"/>
    </row>
    <row r="24" spans="2:42" ht="39.950000000000003" customHeight="1" x14ac:dyDescent="0.15">
      <c r="B24" s="558" t="s">
        <v>7</v>
      </c>
      <c r="C24" s="559"/>
      <c r="D24" s="559"/>
      <c r="E24" s="560" t="s">
        <v>199</v>
      </c>
      <c r="F24" s="561"/>
      <c r="G24" s="561"/>
      <c r="H24" s="561"/>
      <c r="I24" s="561"/>
      <c r="J24" s="561"/>
      <c r="K24" s="561"/>
      <c r="L24" s="561"/>
      <c r="M24" s="561"/>
      <c r="N24" s="562"/>
      <c r="O24" s="563" t="s">
        <v>200</v>
      </c>
      <c r="P24" s="559"/>
      <c r="Q24" s="559"/>
      <c r="R24" s="559"/>
      <c r="S24" s="559"/>
      <c r="T24" s="564" t="s">
        <v>426</v>
      </c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5"/>
      <c r="AL24" s="565"/>
      <c r="AM24" s="565"/>
      <c r="AN24" s="565"/>
      <c r="AO24" s="565"/>
      <c r="AP24" s="566"/>
    </row>
    <row r="25" spans="2:42" ht="39.950000000000003" customHeight="1" x14ac:dyDescent="0.15">
      <c r="B25" s="567" t="s">
        <v>8</v>
      </c>
      <c r="C25" s="568"/>
      <c r="D25" s="568"/>
      <c r="E25" s="569" t="s">
        <v>201</v>
      </c>
      <c r="F25" s="570"/>
      <c r="G25" s="570"/>
      <c r="H25" s="570"/>
      <c r="I25" s="570"/>
      <c r="J25" s="570"/>
      <c r="K25" s="570"/>
      <c r="L25" s="570"/>
      <c r="M25" s="570"/>
      <c r="N25" s="571"/>
      <c r="O25" s="524" t="s">
        <v>331</v>
      </c>
      <c r="P25" s="525"/>
      <c r="Q25" s="525"/>
      <c r="R25" s="525"/>
      <c r="S25" s="526"/>
      <c r="T25" s="572" t="s">
        <v>491</v>
      </c>
      <c r="U25" s="535"/>
      <c r="V25" s="535"/>
      <c r="W25" s="535"/>
      <c r="X25" s="535"/>
      <c r="Y25" s="535"/>
      <c r="Z25" s="535"/>
      <c r="AA25" s="535"/>
      <c r="AB25" s="535"/>
      <c r="AC25" s="535"/>
      <c r="AD25" s="535"/>
      <c r="AE25" s="535"/>
      <c r="AF25" s="535"/>
      <c r="AG25" s="535"/>
      <c r="AH25" s="535"/>
      <c r="AI25" s="535"/>
      <c r="AJ25" s="535"/>
      <c r="AK25" s="535"/>
      <c r="AL25" s="535"/>
      <c r="AM25" s="535"/>
      <c r="AN25" s="535"/>
      <c r="AO25" s="535"/>
      <c r="AP25" s="536"/>
    </row>
    <row r="26" spans="2:42" ht="39.950000000000003" customHeight="1" x14ac:dyDescent="0.15">
      <c r="B26" s="573" t="s">
        <v>9</v>
      </c>
      <c r="C26" s="574"/>
      <c r="D26" s="575"/>
      <c r="E26" s="510" t="s">
        <v>482</v>
      </c>
      <c r="F26" s="511"/>
      <c r="G26" s="511"/>
      <c r="H26" s="511"/>
      <c r="I26" s="511"/>
      <c r="J26" s="511"/>
      <c r="K26" s="511"/>
      <c r="L26" s="511"/>
      <c r="M26" s="511"/>
      <c r="N26" s="512"/>
      <c r="O26" s="527"/>
      <c r="P26" s="528"/>
      <c r="Q26" s="528"/>
      <c r="R26" s="528"/>
      <c r="S26" s="529"/>
      <c r="T26" s="513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14"/>
      <c r="AF26" s="514"/>
      <c r="AG26" s="514"/>
      <c r="AH26" s="514"/>
      <c r="AI26" s="514"/>
      <c r="AJ26" s="514"/>
      <c r="AK26" s="514"/>
      <c r="AL26" s="514"/>
      <c r="AM26" s="514"/>
      <c r="AN26" s="514"/>
      <c r="AO26" s="514"/>
      <c r="AP26" s="515"/>
    </row>
    <row r="27" spans="2:42" ht="39.950000000000003" customHeight="1" x14ac:dyDescent="0.15">
      <c r="B27" s="576"/>
      <c r="C27" s="577"/>
      <c r="D27" s="578"/>
      <c r="E27" s="513"/>
      <c r="F27" s="514"/>
      <c r="G27" s="514"/>
      <c r="H27" s="514"/>
      <c r="I27" s="514"/>
      <c r="J27" s="514"/>
      <c r="K27" s="514"/>
      <c r="L27" s="514"/>
      <c r="M27" s="514"/>
      <c r="N27" s="515"/>
      <c r="O27" s="527"/>
      <c r="P27" s="528"/>
      <c r="Q27" s="528"/>
      <c r="R27" s="528"/>
      <c r="S27" s="529"/>
      <c r="T27" s="513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4"/>
      <c r="AK27" s="514"/>
      <c r="AL27" s="514"/>
      <c r="AM27" s="514"/>
      <c r="AN27" s="514"/>
      <c r="AO27" s="514"/>
      <c r="AP27" s="515"/>
    </row>
    <row r="28" spans="2:42" ht="39.950000000000003" customHeight="1" x14ac:dyDescent="0.15">
      <c r="B28" s="579"/>
      <c r="C28" s="580"/>
      <c r="D28" s="581"/>
      <c r="E28" s="516"/>
      <c r="F28" s="517"/>
      <c r="G28" s="517"/>
      <c r="H28" s="517"/>
      <c r="I28" s="517"/>
      <c r="J28" s="517"/>
      <c r="K28" s="517"/>
      <c r="L28" s="517"/>
      <c r="M28" s="517"/>
      <c r="N28" s="518"/>
      <c r="O28" s="530" t="s">
        <v>332</v>
      </c>
      <c r="P28" s="525"/>
      <c r="Q28" s="525"/>
      <c r="R28" s="525"/>
      <c r="S28" s="526"/>
      <c r="T28" s="534" t="s">
        <v>427</v>
      </c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/>
      <c r="AH28" s="535"/>
      <c r="AI28" s="535"/>
      <c r="AJ28" s="535"/>
      <c r="AK28" s="535"/>
      <c r="AL28" s="535"/>
      <c r="AM28" s="535"/>
      <c r="AN28" s="535"/>
      <c r="AO28" s="535"/>
      <c r="AP28" s="536"/>
    </row>
    <row r="29" spans="2:42" ht="60.75" customHeight="1" thickBot="1" x14ac:dyDescent="0.2">
      <c r="B29" s="519" t="s">
        <v>10</v>
      </c>
      <c r="C29" s="520"/>
      <c r="D29" s="520"/>
      <c r="E29" s="521" t="s">
        <v>330</v>
      </c>
      <c r="F29" s="522"/>
      <c r="G29" s="522"/>
      <c r="H29" s="522"/>
      <c r="I29" s="522"/>
      <c r="J29" s="522"/>
      <c r="K29" s="522"/>
      <c r="L29" s="522"/>
      <c r="M29" s="522"/>
      <c r="N29" s="523"/>
      <c r="O29" s="531"/>
      <c r="P29" s="532"/>
      <c r="Q29" s="532"/>
      <c r="R29" s="532"/>
      <c r="S29" s="533"/>
      <c r="T29" s="537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538"/>
      <c r="AJ29" s="538"/>
      <c r="AK29" s="538"/>
      <c r="AL29" s="538"/>
      <c r="AM29" s="538"/>
      <c r="AN29" s="538"/>
      <c r="AO29" s="538"/>
      <c r="AP29" s="539"/>
    </row>
    <row r="30" spans="2:42" ht="9.9499999999999993" customHeight="1" x14ac:dyDescent="0.15">
      <c r="B30" s="57"/>
    </row>
  </sheetData>
  <mergeCells count="83">
    <mergeCell ref="Y8:AA8"/>
    <mergeCell ref="Y2:AA2"/>
    <mergeCell ref="C2:D2"/>
    <mergeCell ref="F2:N2"/>
    <mergeCell ref="O2:Q2"/>
    <mergeCell ref="R2:U2"/>
    <mergeCell ref="V2:X2"/>
    <mergeCell ref="B5:C5"/>
    <mergeCell ref="D5:G5"/>
    <mergeCell ref="H5:AA5"/>
    <mergeCell ref="B6:G6"/>
    <mergeCell ref="H6:M6"/>
    <mergeCell ref="N6:P6"/>
    <mergeCell ref="Q6:X6"/>
    <mergeCell ref="Y6:AA6"/>
    <mergeCell ref="Y9:AA9"/>
    <mergeCell ref="B7:C8"/>
    <mergeCell ref="D7:G7"/>
    <mergeCell ref="H7:M7"/>
    <mergeCell ref="N7:P7"/>
    <mergeCell ref="Q7:X7"/>
    <mergeCell ref="Y7:AA7"/>
    <mergeCell ref="D8:G8"/>
    <mergeCell ref="H8:M8"/>
    <mergeCell ref="N8:P8"/>
    <mergeCell ref="B9:C9"/>
    <mergeCell ref="D9:G9"/>
    <mergeCell ref="H9:M9"/>
    <mergeCell ref="N9:P9"/>
    <mergeCell ref="Q9:X9"/>
    <mergeCell ref="Q8:X8"/>
    <mergeCell ref="Y11:AA11"/>
    <mergeCell ref="B10:C10"/>
    <mergeCell ref="D10:G10"/>
    <mergeCell ref="H10:M10"/>
    <mergeCell ref="N10:P10"/>
    <mergeCell ref="Q10:X10"/>
    <mergeCell ref="Y10:AA10"/>
    <mergeCell ref="B11:C11"/>
    <mergeCell ref="D11:G11"/>
    <mergeCell ref="H11:M11"/>
    <mergeCell ref="N11:P11"/>
    <mergeCell ref="Q11:X11"/>
    <mergeCell ref="B12:B17"/>
    <mergeCell ref="C12:E12"/>
    <mergeCell ref="G12:I12"/>
    <mergeCell ref="J12:L12"/>
    <mergeCell ref="M12:O12"/>
    <mergeCell ref="C17:E17"/>
    <mergeCell ref="C16:E16"/>
    <mergeCell ref="AK12:AM12"/>
    <mergeCell ref="AN12:AP12"/>
    <mergeCell ref="C13:E13"/>
    <mergeCell ref="C14:E14"/>
    <mergeCell ref="C15:E15"/>
    <mergeCell ref="AE12:AG12"/>
    <mergeCell ref="AH12:AJ12"/>
    <mergeCell ref="S12:U12"/>
    <mergeCell ref="V12:X12"/>
    <mergeCell ref="Y12:AA12"/>
    <mergeCell ref="AB12:AD12"/>
    <mergeCell ref="P12:R12"/>
    <mergeCell ref="T28:AP29"/>
    <mergeCell ref="B18:B20"/>
    <mergeCell ref="C18:AP18"/>
    <mergeCell ref="C19:U19"/>
    <mergeCell ref="Y19:AB19"/>
    <mergeCell ref="C20:AP20"/>
    <mergeCell ref="B23:N23"/>
    <mergeCell ref="O23:AP23"/>
    <mergeCell ref="B24:D24"/>
    <mergeCell ref="E24:N24"/>
    <mergeCell ref="O24:S24"/>
    <mergeCell ref="T24:AP24"/>
    <mergeCell ref="B25:D25"/>
    <mergeCell ref="E25:N25"/>
    <mergeCell ref="T25:AP27"/>
    <mergeCell ref="B26:D28"/>
    <mergeCell ref="E26:N28"/>
    <mergeCell ref="B29:D29"/>
    <mergeCell ref="E29:N29"/>
    <mergeCell ref="O25:S27"/>
    <mergeCell ref="O28:S29"/>
  </mergeCells>
  <phoneticPr fontId="6"/>
  <pageMargins left="0.78740157480314965" right="0.78740157480314965" top="0.78740157480314965" bottom="0.78740157480314965" header="0.39370078740157483" footer="0.39370078740157483"/>
  <pageSetup paperSize="9" scale="72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RowHeight="13.5" x14ac:dyDescent="0.15"/>
  <cols>
    <col min="1" max="1" width="1.625" style="45" customWidth="1"/>
    <col min="2" max="2" width="7.625" style="45" customWidth="1"/>
    <col min="3" max="3" width="25.625" style="45" customWidth="1"/>
    <col min="4" max="13" width="15.625" style="45" customWidth="1"/>
    <col min="14" max="16384" width="9" style="45"/>
  </cols>
  <sheetData>
    <row r="1" spans="2:13" ht="9.9499999999999993" customHeight="1" x14ac:dyDescent="0.1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3" ht="24.95" customHeight="1" thickBot="1" x14ac:dyDescent="0.2">
      <c r="B2" s="172" t="s">
        <v>448</v>
      </c>
      <c r="F2" s="185" t="s">
        <v>133</v>
      </c>
      <c r="G2" s="172" t="s">
        <v>217</v>
      </c>
      <c r="I2" s="185"/>
      <c r="J2" s="172"/>
    </row>
    <row r="3" spans="2:13" ht="20.25" customHeight="1" x14ac:dyDescent="0.15">
      <c r="B3" s="652" t="s">
        <v>66</v>
      </c>
      <c r="C3" s="653"/>
      <c r="D3" s="276" t="s">
        <v>218</v>
      </c>
      <c r="E3" s="276" t="s">
        <v>219</v>
      </c>
      <c r="F3" s="276" t="s">
        <v>291</v>
      </c>
      <c r="G3" s="276" t="s">
        <v>293</v>
      </c>
      <c r="H3" s="276" t="s">
        <v>220</v>
      </c>
      <c r="I3" s="276" t="s">
        <v>221</v>
      </c>
      <c r="J3" s="276" t="s">
        <v>222</v>
      </c>
      <c r="K3" s="276" t="s">
        <v>223</v>
      </c>
      <c r="L3" s="276" t="s">
        <v>224</v>
      </c>
      <c r="M3" s="283" t="s">
        <v>270</v>
      </c>
    </row>
    <row r="4" spans="2:13" ht="135.4" customHeight="1" x14ac:dyDescent="0.15">
      <c r="B4" s="654" t="s">
        <v>57</v>
      </c>
      <c r="C4" s="280" t="s">
        <v>58</v>
      </c>
      <c r="D4" s="68" t="s">
        <v>449</v>
      </c>
      <c r="E4" s="68" t="s">
        <v>450</v>
      </c>
      <c r="F4" s="68" t="s">
        <v>451</v>
      </c>
      <c r="G4" s="68" t="s">
        <v>452</v>
      </c>
      <c r="H4" s="68" t="s">
        <v>453</v>
      </c>
      <c r="I4" s="68" t="s">
        <v>454</v>
      </c>
      <c r="J4" s="68" t="s">
        <v>455</v>
      </c>
      <c r="K4" s="498" t="s">
        <v>456</v>
      </c>
      <c r="L4" s="498"/>
      <c r="M4" s="498" t="s">
        <v>457</v>
      </c>
    </row>
    <row r="5" spans="2:13" ht="33" customHeight="1" x14ac:dyDescent="0.15">
      <c r="B5" s="654"/>
      <c r="C5" s="280" t="s">
        <v>59</v>
      </c>
      <c r="D5" s="284" t="s">
        <v>290</v>
      </c>
      <c r="E5" s="655" t="s">
        <v>322</v>
      </c>
      <c r="F5" s="656"/>
      <c r="G5" s="657"/>
      <c r="H5" s="280" t="s">
        <v>225</v>
      </c>
      <c r="I5" s="280" t="s">
        <v>226</v>
      </c>
      <c r="J5" s="647" t="s">
        <v>296</v>
      </c>
      <c r="K5" s="648"/>
      <c r="L5" s="648"/>
      <c r="M5" s="649"/>
    </row>
    <row r="6" spans="2:13" ht="150" customHeight="1" x14ac:dyDescent="0.15">
      <c r="B6" s="654"/>
      <c r="C6" s="280" t="s">
        <v>65</v>
      </c>
      <c r="D6" s="285" t="s">
        <v>227</v>
      </c>
      <c r="E6" s="285" t="s">
        <v>228</v>
      </c>
      <c r="F6" s="285" t="s">
        <v>292</v>
      </c>
      <c r="G6" s="285" t="s">
        <v>229</v>
      </c>
      <c r="H6" s="49" t="s">
        <v>230</v>
      </c>
      <c r="I6" s="49" t="s">
        <v>228</v>
      </c>
      <c r="J6" s="49" t="s">
        <v>273</v>
      </c>
      <c r="K6" s="49" t="s">
        <v>231</v>
      </c>
      <c r="L6" s="49" t="s">
        <v>271</v>
      </c>
      <c r="M6" s="50" t="s">
        <v>272</v>
      </c>
    </row>
    <row r="7" spans="2:13" ht="20.25" customHeight="1" x14ac:dyDescent="0.15">
      <c r="B7" s="654"/>
      <c r="C7" s="53" t="s">
        <v>62</v>
      </c>
      <c r="D7" s="281">
        <v>0.2</v>
      </c>
      <c r="E7" s="281">
        <v>0.1</v>
      </c>
      <c r="F7" s="284">
        <v>0.9</v>
      </c>
      <c r="G7" s="281">
        <v>0.2</v>
      </c>
      <c r="H7" s="280">
        <v>0.1</v>
      </c>
      <c r="I7" s="280">
        <v>0.1</v>
      </c>
      <c r="J7" s="280">
        <v>0.5</v>
      </c>
      <c r="K7" s="280">
        <v>0.6</v>
      </c>
      <c r="L7" s="280">
        <v>0.6</v>
      </c>
      <c r="M7" s="52">
        <v>0.6</v>
      </c>
    </row>
    <row r="8" spans="2:13" ht="20.25" customHeight="1" x14ac:dyDescent="0.15">
      <c r="B8" s="654"/>
      <c r="C8" s="281" t="s">
        <v>63</v>
      </c>
      <c r="D8" s="281">
        <v>0.6</v>
      </c>
      <c r="E8" s="281">
        <v>0.2</v>
      </c>
      <c r="F8" s="281">
        <v>1.3</v>
      </c>
      <c r="G8" s="281">
        <v>0.3</v>
      </c>
      <c r="H8" s="280">
        <v>0.2</v>
      </c>
      <c r="I8" s="280">
        <v>0.2</v>
      </c>
      <c r="J8" s="280">
        <v>0.7</v>
      </c>
      <c r="K8" s="280">
        <v>0.8</v>
      </c>
      <c r="L8" s="280">
        <v>0.8</v>
      </c>
      <c r="M8" s="52">
        <v>0.8</v>
      </c>
    </row>
    <row r="9" spans="2:13" ht="20.25" customHeight="1" x14ac:dyDescent="0.15">
      <c r="B9" s="654"/>
      <c r="C9" s="280" t="s">
        <v>64</v>
      </c>
      <c r="D9" s="280">
        <v>2</v>
      </c>
      <c r="E9" s="280">
        <v>1</v>
      </c>
      <c r="F9" s="280">
        <v>1</v>
      </c>
      <c r="G9" s="280">
        <v>1</v>
      </c>
      <c r="H9" s="280">
        <v>1</v>
      </c>
      <c r="I9" s="280">
        <v>1</v>
      </c>
      <c r="J9" s="280">
        <v>1</v>
      </c>
      <c r="K9" s="280">
        <v>1</v>
      </c>
      <c r="L9" s="280">
        <v>1</v>
      </c>
      <c r="M9" s="52">
        <v>1</v>
      </c>
    </row>
    <row r="10" spans="2:13" ht="150" customHeight="1" x14ac:dyDescent="0.15">
      <c r="B10" s="658" t="s">
        <v>60</v>
      </c>
      <c r="C10" s="659"/>
      <c r="D10" s="68" t="s">
        <v>232</v>
      </c>
      <c r="E10" s="68" t="s">
        <v>233</v>
      </c>
      <c r="F10" s="68"/>
      <c r="G10" s="503" t="s">
        <v>458</v>
      </c>
      <c r="H10" s="504"/>
      <c r="I10" s="503" t="s">
        <v>235</v>
      </c>
      <c r="J10" s="504"/>
      <c r="K10" s="503" t="s">
        <v>236</v>
      </c>
      <c r="L10" s="503"/>
      <c r="M10" s="509" t="s">
        <v>237</v>
      </c>
    </row>
    <row r="11" spans="2:13" ht="150" customHeight="1" thickBot="1" x14ac:dyDescent="0.2">
      <c r="B11" s="650" t="s">
        <v>61</v>
      </c>
      <c r="C11" s="651"/>
      <c r="D11" s="499" t="s">
        <v>238</v>
      </c>
      <c r="E11" s="499"/>
      <c r="F11" s="499"/>
      <c r="G11" s="500" t="s">
        <v>459</v>
      </c>
      <c r="H11" s="501"/>
      <c r="I11" s="501"/>
      <c r="J11" s="500" t="s">
        <v>460</v>
      </c>
      <c r="K11" s="500" t="s">
        <v>461</v>
      </c>
      <c r="L11" s="500"/>
      <c r="M11" s="502" t="s">
        <v>462</v>
      </c>
    </row>
    <row r="12" spans="2:13" ht="9.9499999999999993" customHeight="1" x14ac:dyDescent="0.15">
      <c r="B12" s="57"/>
    </row>
  </sheetData>
  <mergeCells count="6">
    <mergeCell ref="J5:M5"/>
    <mergeCell ref="B11:C11"/>
    <mergeCell ref="B3:C3"/>
    <mergeCell ref="B4:B9"/>
    <mergeCell ref="E5:G5"/>
    <mergeCell ref="B10:C10"/>
  </mergeCells>
  <phoneticPr fontId="6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"/>
  <sheetViews>
    <sheetView zoomScale="75" zoomScaleNormal="75" zoomScaleSheetLayoutView="80" workbookViewId="0"/>
  </sheetViews>
  <sheetFormatPr defaultRowHeight="13.5" x14ac:dyDescent="0.15"/>
  <cols>
    <col min="1" max="1" width="1.625" style="45" customWidth="1"/>
    <col min="2" max="2" width="7.625" style="45" customWidth="1"/>
    <col min="3" max="3" width="25.625" style="45" customWidth="1"/>
    <col min="4" max="14" width="15.625" style="45" customWidth="1"/>
    <col min="15" max="16384" width="9" style="45"/>
  </cols>
  <sheetData>
    <row r="1" spans="2:14" ht="9.9499999999999993" customHeight="1" x14ac:dyDescent="0.1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2:14" ht="24.95" customHeight="1" thickBot="1" x14ac:dyDescent="0.2">
      <c r="B2" s="172" t="s">
        <v>469</v>
      </c>
      <c r="E2" s="185" t="s">
        <v>133</v>
      </c>
      <c r="F2" s="172" t="s">
        <v>239</v>
      </c>
      <c r="H2" s="185"/>
      <c r="I2" s="172"/>
    </row>
    <row r="3" spans="2:14" ht="20.25" customHeight="1" x14ac:dyDescent="0.15">
      <c r="B3" s="652" t="s">
        <v>66</v>
      </c>
      <c r="C3" s="653"/>
      <c r="D3" s="276" t="s">
        <v>219</v>
      </c>
      <c r="E3" s="276" t="s">
        <v>291</v>
      </c>
      <c r="F3" s="276" t="s">
        <v>293</v>
      </c>
      <c r="G3" s="276" t="s">
        <v>220</v>
      </c>
      <c r="H3" s="276" t="s">
        <v>221</v>
      </c>
      <c r="I3" s="276" t="s">
        <v>240</v>
      </c>
      <c r="J3" s="276" t="s">
        <v>241</v>
      </c>
      <c r="K3" s="276" t="s">
        <v>242</v>
      </c>
      <c r="L3" s="489"/>
      <c r="M3" s="276"/>
      <c r="N3" s="283"/>
    </row>
    <row r="4" spans="2:14" ht="135.4" customHeight="1" x14ac:dyDescent="0.15">
      <c r="B4" s="654" t="s">
        <v>57</v>
      </c>
      <c r="C4" s="280" t="s">
        <v>58</v>
      </c>
      <c r="D4" s="49" t="s">
        <v>450</v>
      </c>
      <c r="E4" s="49" t="s">
        <v>451</v>
      </c>
      <c r="F4" s="49" t="s">
        <v>452</v>
      </c>
      <c r="G4" s="68" t="s">
        <v>453</v>
      </c>
      <c r="H4" s="68" t="s">
        <v>454</v>
      </c>
      <c r="I4" s="482" t="s">
        <v>463</v>
      </c>
      <c r="J4" s="483" t="s">
        <v>464</v>
      </c>
      <c r="K4" s="484" t="s">
        <v>465</v>
      </c>
      <c r="L4" s="484"/>
      <c r="M4" s="291"/>
      <c r="N4" s="50"/>
    </row>
    <row r="5" spans="2:14" ht="33" customHeight="1" x14ac:dyDescent="0.15">
      <c r="B5" s="654"/>
      <c r="C5" s="280" t="s">
        <v>59</v>
      </c>
      <c r="D5" s="655" t="s">
        <v>294</v>
      </c>
      <c r="E5" s="656"/>
      <c r="F5" s="657"/>
      <c r="G5" s="313" t="s">
        <v>225</v>
      </c>
      <c r="H5" s="280" t="s">
        <v>226</v>
      </c>
      <c r="I5" s="292" t="s">
        <v>323</v>
      </c>
      <c r="J5" s="292" t="s">
        <v>243</v>
      </c>
      <c r="K5" s="292" t="s">
        <v>324</v>
      </c>
      <c r="L5" s="292"/>
      <c r="M5" s="292"/>
      <c r="N5" s="52"/>
    </row>
    <row r="6" spans="2:14" ht="150" customHeight="1" x14ac:dyDescent="0.15">
      <c r="B6" s="654"/>
      <c r="C6" s="280" t="s">
        <v>65</v>
      </c>
      <c r="D6" s="285" t="s">
        <v>244</v>
      </c>
      <c r="E6" s="285" t="s">
        <v>245</v>
      </c>
      <c r="F6" s="285" t="s">
        <v>229</v>
      </c>
      <c r="G6" s="49" t="s">
        <v>230</v>
      </c>
      <c r="H6" s="49" t="s">
        <v>244</v>
      </c>
      <c r="I6" s="49" t="s">
        <v>246</v>
      </c>
      <c r="J6" s="49"/>
      <c r="K6" s="49" t="s">
        <v>274</v>
      </c>
      <c r="L6" s="49"/>
      <c r="M6" s="49"/>
      <c r="N6" s="50"/>
    </row>
    <row r="7" spans="2:14" ht="20.25" customHeight="1" x14ac:dyDescent="0.15">
      <c r="B7" s="654"/>
      <c r="C7" s="53" t="s">
        <v>62</v>
      </c>
      <c r="D7" s="314">
        <v>0.1</v>
      </c>
      <c r="E7" s="284">
        <v>0.9</v>
      </c>
      <c r="F7" s="314">
        <v>0.2</v>
      </c>
      <c r="G7" s="313">
        <v>0.1</v>
      </c>
      <c r="H7" s="313">
        <v>0.1</v>
      </c>
      <c r="I7" s="280"/>
      <c r="J7" s="280"/>
      <c r="K7" s="280"/>
      <c r="L7" s="488"/>
      <c r="M7" s="280"/>
      <c r="N7" s="333"/>
    </row>
    <row r="8" spans="2:14" ht="20.25" customHeight="1" x14ac:dyDescent="0.15">
      <c r="B8" s="654"/>
      <c r="C8" s="281" t="s">
        <v>63</v>
      </c>
      <c r="D8" s="314">
        <v>0.2</v>
      </c>
      <c r="E8" s="314">
        <v>1.3</v>
      </c>
      <c r="F8" s="314">
        <v>0.3</v>
      </c>
      <c r="G8" s="313">
        <v>0.2</v>
      </c>
      <c r="H8" s="313">
        <v>0.2</v>
      </c>
      <c r="I8" s="280"/>
      <c r="J8" s="280">
        <v>0.4</v>
      </c>
      <c r="K8" s="280"/>
      <c r="L8" s="488"/>
      <c r="M8" s="280"/>
      <c r="N8" s="333"/>
    </row>
    <row r="9" spans="2:14" ht="20.25" customHeight="1" x14ac:dyDescent="0.15">
      <c r="B9" s="654"/>
      <c r="C9" s="280" t="s">
        <v>64</v>
      </c>
      <c r="D9" s="313">
        <v>1</v>
      </c>
      <c r="E9" s="313">
        <v>1</v>
      </c>
      <c r="F9" s="313">
        <v>1</v>
      </c>
      <c r="G9" s="313">
        <v>1</v>
      </c>
      <c r="H9" s="313">
        <v>1</v>
      </c>
      <c r="I9" s="280"/>
      <c r="J9" s="280">
        <v>1</v>
      </c>
      <c r="K9" s="280"/>
      <c r="L9" s="488"/>
      <c r="M9" s="280"/>
      <c r="N9" s="52"/>
    </row>
    <row r="10" spans="2:14" ht="150" customHeight="1" x14ac:dyDescent="0.15">
      <c r="B10" s="658" t="s">
        <v>60</v>
      </c>
      <c r="C10" s="659"/>
      <c r="D10" s="68" t="s">
        <v>233</v>
      </c>
      <c r="E10" s="68"/>
      <c r="F10" s="503" t="s">
        <v>468</v>
      </c>
      <c r="G10" s="504"/>
      <c r="H10" s="503" t="s">
        <v>235</v>
      </c>
      <c r="I10" s="504"/>
      <c r="J10" s="503" t="s">
        <v>234</v>
      </c>
      <c r="K10" s="284"/>
      <c r="L10" s="284"/>
      <c r="M10" s="284"/>
      <c r="N10" s="54"/>
    </row>
    <row r="11" spans="2:14" ht="150" customHeight="1" thickBot="1" x14ac:dyDescent="0.2">
      <c r="B11" s="650" t="s">
        <v>61</v>
      </c>
      <c r="C11" s="651"/>
      <c r="D11" s="286"/>
      <c r="E11" s="287"/>
      <c r="F11" s="500" t="s">
        <v>477</v>
      </c>
      <c r="G11" s="288"/>
      <c r="H11" s="288"/>
      <c r="I11" s="289"/>
      <c r="J11" s="500" t="s">
        <v>467</v>
      </c>
      <c r="K11" s="500" t="s">
        <v>466</v>
      </c>
      <c r="L11" s="289"/>
      <c r="M11" s="289"/>
      <c r="N11" s="290"/>
    </row>
    <row r="12" spans="2:14" ht="9.9499999999999993" customHeight="1" x14ac:dyDescent="0.15">
      <c r="B12" s="57"/>
    </row>
  </sheetData>
  <mergeCells count="5">
    <mergeCell ref="B3:C3"/>
    <mergeCell ref="B4:B9"/>
    <mergeCell ref="D5:F5"/>
    <mergeCell ref="B10:C10"/>
    <mergeCell ref="B11:C11"/>
  </mergeCells>
  <phoneticPr fontId="6"/>
  <pageMargins left="0.78740157480314965" right="0.78740157480314965" top="0.78740157480314965" bottom="0.78740157480314965" header="0.39370078740157483" footer="0.39370078740157483"/>
  <pageSetup paperSize="9" scale="6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80" workbookViewId="0"/>
  </sheetViews>
  <sheetFormatPr defaultRowHeight="13.5" x14ac:dyDescent="0.15"/>
  <cols>
    <col min="1" max="1" width="1.625" style="45" customWidth="1"/>
    <col min="2" max="2" width="7.625" style="45" customWidth="1"/>
    <col min="3" max="3" width="25.625" style="45" customWidth="1"/>
    <col min="4" max="13" width="15.625" style="45" customWidth="1"/>
    <col min="14" max="16384" width="9" style="45"/>
  </cols>
  <sheetData>
    <row r="1" spans="2:13" ht="9.9499999999999993" customHeight="1" x14ac:dyDescent="0.15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3" ht="24.95" customHeight="1" thickBot="1" x14ac:dyDescent="0.2">
      <c r="B2" s="172" t="s">
        <v>470</v>
      </c>
      <c r="F2" s="185" t="s">
        <v>133</v>
      </c>
      <c r="G2" s="172" t="s">
        <v>325</v>
      </c>
      <c r="I2" s="185"/>
      <c r="J2" s="172"/>
    </row>
    <row r="3" spans="2:13" ht="20.25" customHeight="1" x14ac:dyDescent="0.15">
      <c r="B3" s="660" t="s">
        <v>66</v>
      </c>
      <c r="C3" s="661"/>
      <c r="D3" s="315" t="s">
        <v>297</v>
      </c>
      <c r="E3" s="315" t="s">
        <v>223</v>
      </c>
      <c r="F3" s="315" t="s">
        <v>224</v>
      </c>
      <c r="G3" s="316" t="s">
        <v>270</v>
      </c>
      <c r="H3" s="318" t="s">
        <v>301</v>
      </c>
      <c r="I3" s="46"/>
      <c r="J3" s="46"/>
      <c r="K3" s="46"/>
      <c r="L3" s="46"/>
      <c r="M3" s="47"/>
    </row>
    <row r="4" spans="2:13" ht="150" customHeight="1" x14ac:dyDescent="0.15">
      <c r="B4" s="654" t="s">
        <v>57</v>
      </c>
      <c r="C4" s="48" t="s">
        <v>58</v>
      </c>
      <c r="D4" s="68" t="s">
        <v>471</v>
      </c>
      <c r="E4" s="498" t="s">
        <v>456</v>
      </c>
      <c r="F4" s="68"/>
      <c r="G4" s="508" t="s">
        <v>472</v>
      </c>
      <c r="H4" s="68" t="s">
        <v>449</v>
      </c>
      <c r="I4" s="49"/>
      <c r="J4" s="49"/>
      <c r="K4" s="49"/>
      <c r="L4" s="49"/>
      <c r="M4" s="50"/>
    </row>
    <row r="5" spans="2:13" ht="20.25" customHeight="1" x14ac:dyDescent="0.15">
      <c r="B5" s="654"/>
      <c r="C5" s="48" t="s">
        <v>59</v>
      </c>
      <c r="D5" s="655" t="s">
        <v>383</v>
      </c>
      <c r="E5" s="656"/>
      <c r="F5" s="656"/>
      <c r="G5" s="657"/>
      <c r="H5" s="319" t="s">
        <v>384</v>
      </c>
      <c r="I5" s="48"/>
      <c r="J5" s="48"/>
      <c r="K5" s="48"/>
      <c r="L5" s="48"/>
      <c r="M5" s="52"/>
    </row>
    <row r="6" spans="2:13" ht="150" customHeight="1" x14ac:dyDescent="0.15">
      <c r="B6" s="654"/>
      <c r="C6" s="48" t="s">
        <v>65</v>
      </c>
      <c r="D6" s="49" t="s">
        <v>295</v>
      </c>
      <c r="E6" s="49" t="s">
        <v>231</v>
      </c>
      <c r="F6" s="49" t="s">
        <v>271</v>
      </c>
      <c r="G6" s="317" t="s">
        <v>272</v>
      </c>
      <c r="H6" s="285" t="s">
        <v>302</v>
      </c>
      <c r="I6" s="49"/>
      <c r="J6" s="49"/>
      <c r="K6" s="49"/>
      <c r="L6" s="49"/>
      <c r="M6" s="50"/>
    </row>
    <row r="7" spans="2:13" ht="20.25" customHeight="1" x14ac:dyDescent="0.15">
      <c r="B7" s="654"/>
      <c r="C7" s="53" t="s">
        <v>62</v>
      </c>
      <c r="D7" s="51">
        <v>0.2</v>
      </c>
      <c r="E7" s="51">
        <v>0.3</v>
      </c>
      <c r="F7" s="51">
        <v>0.3</v>
      </c>
      <c r="G7" s="51">
        <v>0.3</v>
      </c>
      <c r="H7" s="48">
        <v>0.2</v>
      </c>
      <c r="I7" s="48"/>
      <c r="J7" s="48"/>
      <c r="K7" s="48"/>
      <c r="L7" s="48"/>
      <c r="M7" s="52"/>
    </row>
    <row r="8" spans="2:13" ht="20.25" customHeight="1" x14ac:dyDescent="0.15">
      <c r="B8" s="654"/>
      <c r="C8" s="51" t="s">
        <v>63</v>
      </c>
      <c r="D8" s="51">
        <v>0.3</v>
      </c>
      <c r="E8" s="51">
        <v>0.5</v>
      </c>
      <c r="F8" s="51">
        <v>0.5</v>
      </c>
      <c r="G8" s="51">
        <v>0.5</v>
      </c>
      <c r="H8" s="48">
        <v>0.6</v>
      </c>
      <c r="I8" s="48"/>
      <c r="J8" s="48"/>
      <c r="K8" s="48"/>
      <c r="L8" s="48"/>
      <c r="M8" s="52"/>
    </row>
    <row r="9" spans="2:13" ht="20.25" customHeight="1" x14ac:dyDescent="0.15">
      <c r="B9" s="654"/>
      <c r="C9" s="48" t="s">
        <v>64</v>
      </c>
      <c r="D9" s="48">
        <v>1</v>
      </c>
      <c r="E9" s="48">
        <v>1</v>
      </c>
      <c r="F9" s="48">
        <v>1</v>
      </c>
      <c r="G9" s="48">
        <v>1</v>
      </c>
      <c r="H9" s="48">
        <v>2</v>
      </c>
      <c r="I9" s="48"/>
      <c r="J9" s="48"/>
      <c r="K9" s="48"/>
      <c r="L9" s="48"/>
      <c r="M9" s="52"/>
    </row>
    <row r="10" spans="2:13" ht="150" customHeight="1" x14ac:dyDescent="0.15">
      <c r="B10" s="658" t="s">
        <v>60</v>
      </c>
      <c r="C10" s="659"/>
      <c r="D10" s="68"/>
      <c r="E10" s="68" t="s">
        <v>236</v>
      </c>
      <c r="F10" s="68"/>
      <c r="G10" s="68" t="s">
        <v>306</v>
      </c>
      <c r="H10" s="68" t="s">
        <v>303</v>
      </c>
      <c r="I10" s="51"/>
      <c r="J10" s="51"/>
      <c r="K10" s="51"/>
      <c r="L10" s="51"/>
      <c r="M10" s="54"/>
    </row>
    <row r="11" spans="2:13" ht="150" customHeight="1" thickBot="1" x14ac:dyDescent="0.2">
      <c r="B11" s="650" t="s">
        <v>61</v>
      </c>
      <c r="C11" s="651"/>
      <c r="D11" s="505" t="s">
        <v>475</v>
      </c>
      <c r="E11" s="505" t="s">
        <v>474</v>
      </c>
      <c r="F11" s="505"/>
      <c r="G11" s="506" t="s">
        <v>476</v>
      </c>
      <c r="H11" s="506" t="s">
        <v>473</v>
      </c>
      <c r="I11" s="507"/>
      <c r="J11" s="55"/>
      <c r="K11" s="55"/>
      <c r="L11" s="55"/>
      <c r="M11" s="56"/>
    </row>
    <row r="12" spans="2:13" ht="9.9499999999999993" customHeight="1" x14ac:dyDescent="0.15">
      <c r="B12" s="57"/>
    </row>
  </sheetData>
  <mergeCells count="5">
    <mergeCell ref="B4:B9"/>
    <mergeCell ref="B3:C3"/>
    <mergeCell ref="B11:C11"/>
    <mergeCell ref="B10:C10"/>
    <mergeCell ref="D5:G5"/>
  </mergeCells>
  <phoneticPr fontId="6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zoomScale="75" zoomScaleNormal="75" zoomScaleSheetLayoutView="85" workbookViewId="0"/>
  </sheetViews>
  <sheetFormatPr defaultRowHeight="13.5" x14ac:dyDescent="0.15"/>
  <cols>
    <col min="1" max="1" width="1.625" style="9" customWidth="1"/>
    <col min="2" max="2" width="7.625" style="9" customWidth="1"/>
    <col min="3" max="3" width="15.625" style="9" customWidth="1"/>
    <col min="4" max="9" width="20.625" style="9" customWidth="1"/>
    <col min="10" max="16" width="12.625" style="9" customWidth="1"/>
    <col min="17" max="16384" width="9" style="9"/>
  </cols>
  <sheetData>
    <row r="1" spans="2:16" ht="9.9499999999999993" customHeight="1" x14ac:dyDescent="0.15"/>
    <row r="2" spans="2:16" ht="24.95" customHeight="1" thickBot="1" x14ac:dyDescent="0.2">
      <c r="B2" s="10" t="s">
        <v>56</v>
      </c>
      <c r="C2" s="11"/>
      <c r="D2" s="11"/>
      <c r="O2" s="12"/>
      <c r="P2" s="12"/>
    </row>
    <row r="3" spans="2:16" ht="20.25" customHeight="1" x14ac:dyDescent="0.15">
      <c r="B3" s="685" t="s">
        <v>161</v>
      </c>
      <c r="C3" s="686"/>
      <c r="D3" s="686"/>
      <c r="E3" s="686"/>
      <c r="F3" s="13" t="s">
        <v>18</v>
      </c>
      <c r="G3" s="13"/>
      <c r="H3" s="219"/>
      <c r="I3" s="207"/>
      <c r="J3" s="701" t="s">
        <v>160</v>
      </c>
      <c r="K3" s="702"/>
      <c r="L3" s="702"/>
      <c r="M3" s="702"/>
      <c r="N3" s="702"/>
      <c r="O3" s="702"/>
      <c r="P3" s="703"/>
    </row>
    <row r="4" spans="2:16" ht="20.25" customHeight="1" thickBot="1" x14ac:dyDescent="0.2">
      <c r="B4" s="687"/>
      <c r="C4" s="688"/>
      <c r="D4" s="688"/>
      <c r="E4" s="688"/>
      <c r="F4" s="14"/>
      <c r="G4" s="206"/>
      <c r="H4" s="220"/>
      <c r="I4" s="206"/>
      <c r="J4" s="704"/>
      <c r="K4" s="705"/>
      <c r="L4" s="705"/>
      <c r="M4" s="705"/>
      <c r="N4" s="705"/>
      <c r="O4" s="705"/>
      <c r="P4" s="706"/>
    </row>
    <row r="5" spans="2:16" ht="20.25" customHeight="1" x14ac:dyDescent="0.15">
      <c r="B5" s="691" t="s">
        <v>37</v>
      </c>
      <c r="C5" s="692"/>
      <c r="D5" s="15" t="str">
        <f>+'７　一貫経営収支'!D4</f>
        <v>肥育牛販売収入</v>
      </c>
      <c r="E5" s="16"/>
      <c r="F5" s="17">
        <f>+'７　一貫経営収支'!F4</f>
        <v>83939952</v>
      </c>
      <c r="G5" s="171"/>
      <c r="H5" s="221"/>
      <c r="I5" s="208"/>
      <c r="J5" s="707" t="str">
        <f>+'７　一貫経営収支'!G4</f>
        <v>去勢：902,314円/頭，雌：791,453円/頭，出荷頭数割合　去勢：雌=2：１，年間出荷頭数97頭（事故牛3頭）</v>
      </c>
      <c r="K5" s="708"/>
      <c r="L5" s="708"/>
      <c r="M5" s="708"/>
      <c r="N5" s="708"/>
      <c r="O5" s="708"/>
      <c r="P5" s="709"/>
    </row>
    <row r="6" spans="2:16" ht="20.25" customHeight="1" x14ac:dyDescent="0.15">
      <c r="B6" s="693"/>
      <c r="C6" s="694"/>
      <c r="D6" s="269" t="str">
        <f>+'７　一貫経営収支'!D5</f>
        <v>老廃牛販売収入</v>
      </c>
      <c r="E6" s="270"/>
      <c r="F6" s="271">
        <f>+'７　一貫経営収支'!F5</f>
        <v>654354</v>
      </c>
      <c r="G6" s="325"/>
      <c r="H6" s="326"/>
      <c r="I6" s="325"/>
      <c r="J6" s="676" t="str">
        <f>+'７　一貫経営収支'!G5</f>
        <v>218,118円×3頭（H25年三次家畜市場平均価格（11才・8％税込換算））</v>
      </c>
      <c r="K6" s="677"/>
      <c r="L6" s="677"/>
      <c r="M6" s="677"/>
      <c r="N6" s="677"/>
      <c r="O6" s="677"/>
      <c r="P6" s="678"/>
    </row>
    <row r="7" spans="2:16" ht="20.25" customHeight="1" x14ac:dyDescent="0.15">
      <c r="B7" s="693"/>
      <c r="C7" s="694"/>
      <c r="D7" s="18" t="str">
        <f>+'７　一貫経営収支'!D6</f>
        <v>堆肥販売収入</v>
      </c>
      <c r="E7" s="270"/>
      <c r="F7" s="271">
        <f>+'７　一貫経営収支'!F6</f>
        <v>957000</v>
      </c>
      <c r="G7" s="325"/>
      <c r="H7" s="326"/>
      <c r="I7" s="325"/>
      <c r="J7" s="676" t="str">
        <f>+'７　一貫経営収支'!G6</f>
        <v>販売堆肥638ｔ　＠1500円</v>
      </c>
      <c r="K7" s="677"/>
      <c r="L7" s="677"/>
      <c r="M7" s="677"/>
      <c r="N7" s="677"/>
      <c r="O7" s="677"/>
      <c r="P7" s="678"/>
    </row>
    <row r="8" spans="2:16" ht="20.25" customHeight="1" x14ac:dyDescent="0.15">
      <c r="B8" s="693"/>
      <c r="C8" s="694"/>
      <c r="D8" s="18" t="str">
        <f>+'７　一貫経営収支'!D7</f>
        <v>補助金</v>
      </c>
      <c r="E8" s="19"/>
      <c r="F8" s="20">
        <f>+'７　一貫経営収支'!F7</f>
        <v>3210000</v>
      </c>
      <c r="G8" s="23"/>
      <c r="H8" s="24"/>
      <c r="I8" s="23"/>
      <c r="J8" s="676" t="str">
        <f>+'７　一貫経営収支'!G7</f>
        <v>経営所得安定対策交付金：「飼料作物」35,000円/10a×7.5ha+「放牧加算」13,000円/10a×4.5ha</v>
      </c>
      <c r="K8" s="677"/>
      <c r="L8" s="677"/>
      <c r="M8" s="677"/>
      <c r="N8" s="677"/>
      <c r="O8" s="677"/>
      <c r="P8" s="678"/>
    </row>
    <row r="9" spans="2:16" ht="20.25" customHeight="1" x14ac:dyDescent="0.15">
      <c r="B9" s="693"/>
      <c r="C9" s="694"/>
      <c r="D9" s="18" t="str">
        <f>+'７　一貫経営収支'!D8</f>
        <v>肥育牛出荷奨励金</v>
      </c>
      <c r="E9" s="353"/>
      <c r="F9" s="354">
        <f>+'７　一貫経営収支'!F8</f>
        <v>335759.80800000002</v>
      </c>
      <c r="G9" s="355"/>
      <c r="H9" s="24"/>
      <c r="I9" s="23"/>
      <c r="J9" s="676" t="str">
        <f>+'７　一貫経営収支'!G8</f>
        <v>税込販売価格の0.4%</v>
      </c>
      <c r="K9" s="677"/>
      <c r="L9" s="677"/>
      <c r="M9" s="677"/>
      <c r="N9" s="677"/>
      <c r="O9" s="677"/>
      <c r="P9" s="678"/>
    </row>
    <row r="10" spans="2:16" ht="20.25" customHeight="1" x14ac:dyDescent="0.15">
      <c r="B10" s="693"/>
      <c r="C10" s="694"/>
      <c r="D10" s="18" t="str">
        <f>+'７　一貫経営収支'!D9</f>
        <v>価格補てん金</v>
      </c>
      <c r="E10" s="353"/>
      <c r="F10" s="354">
        <f>+'７　一貫経営収支'!F9</f>
        <v>3502864</v>
      </c>
      <c r="G10" s="355"/>
      <c r="H10" s="23"/>
      <c r="I10" s="355"/>
      <c r="J10" s="676" t="str">
        <f>+'７　一貫経営収支'!G9</f>
        <v>肉用牛肥育経営安定特別対策事業補てん金　36,112円×97頭</v>
      </c>
      <c r="K10" s="677"/>
      <c r="L10" s="677"/>
      <c r="M10" s="677"/>
      <c r="N10" s="677"/>
      <c r="O10" s="677"/>
      <c r="P10" s="678"/>
    </row>
    <row r="11" spans="2:16" ht="20.25" customHeight="1" x14ac:dyDescent="0.15">
      <c r="B11" s="693"/>
      <c r="C11" s="694"/>
      <c r="D11" s="18" t="str">
        <f>+'７　一貫経営収支'!D10</f>
        <v>受取共済金</v>
      </c>
      <c r="E11" s="19"/>
      <c r="F11" s="20">
        <f>+'７　一貫経営収支'!F10</f>
        <v>1194600</v>
      </c>
      <c r="G11" s="323"/>
      <c r="H11" s="325"/>
      <c r="I11" s="323"/>
      <c r="J11" s="676" t="str">
        <f>+'７　一貫経営収支'!G10</f>
        <v>繁殖部門91,200円（流死産含む子牛事故率3％）　肥育部門367,800円（事故率2％）</v>
      </c>
      <c r="K11" s="677"/>
      <c r="L11" s="677"/>
      <c r="M11" s="677"/>
      <c r="N11" s="677"/>
      <c r="O11" s="677"/>
      <c r="P11" s="678"/>
    </row>
    <row r="12" spans="2:16" ht="20.25" customHeight="1" x14ac:dyDescent="0.15">
      <c r="B12" s="695"/>
      <c r="C12" s="696"/>
      <c r="D12" s="689" t="s">
        <v>104</v>
      </c>
      <c r="E12" s="690"/>
      <c r="F12" s="21">
        <f>SUM(F5:F11)</f>
        <v>93794529.807999998</v>
      </c>
      <c r="G12" s="22"/>
      <c r="H12" s="22">
        <f>H5+H8</f>
        <v>0</v>
      </c>
      <c r="I12" s="22">
        <f>I5+I8</f>
        <v>0</v>
      </c>
      <c r="J12" s="676"/>
      <c r="K12" s="677"/>
      <c r="L12" s="677"/>
      <c r="M12" s="677"/>
      <c r="N12" s="677"/>
      <c r="O12" s="677"/>
      <c r="P12" s="678"/>
    </row>
    <row r="13" spans="2:16" ht="20.25" customHeight="1" x14ac:dyDescent="0.15">
      <c r="B13" s="718" t="s">
        <v>147</v>
      </c>
      <c r="C13" s="697" t="s">
        <v>162</v>
      </c>
      <c r="D13" s="18" t="str">
        <f>+'７　一貫経営収支'!D11</f>
        <v>素畜費</v>
      </c>
      <c r="E13" s="19"/>
      <c r="F13" s="438">
        <f>+'７　一貫経営収支'!F11</f>
        <v>35528584</v>
      </c>
      <c r="G13" s="23"/>
      <c r="H13" s="24"/>
      <c r="I13" s="23"/>
      <c r="J13" s="710" t="str">
        <f>+'７　一貫経営収支'!G11</f>
        <v>480,116円×74頭</v>
      </c>
      <c r="K13" s="711"/>
      <c r="L13" s="711"/>
      <c r="M13" s="711"/>
      <c r="N13" s="711"/>
      <c r="O13" s="711"/>
      <c r="P13" s="712"/>
    </row>
    <row r="14" spans="2:16" ht="20.25" customHeight="1" x14ac:dyDescent="0.15">
      <c r="B14" s="719"/>
      <c r="C14" s="698"/>
      <c r="D14" s="18" t="str">
        <f>+'７　一貫経営収支'!D12</f>
        <v>自給飼料費</v>
      </c>
      <c r="E14" s="19"/>
      <c r="F14" s="438">
        <f>+'７　一貫経営収支'!F12</f>
        <v>1619565.4639999999</v>
      </c>
      <c r="G14" s="23"/>
      <c r="H14" s="24"/>
      <c r="I14" s="23"/>
      <c r="J14" s="402"/>
      <c r="K14" s="356"/>
      <c r="L14" s="356"/>
      <c r="M14" s="356"/>
      <c r="N14" s="356"/>
      <c r="O14" s="356"/>
      <c r="P14" s="357"/>
    </row>
    <row r="15" spans="2:16" ht="20.25" customHeight="1" x14ac:dyDescent="0.15">
      <c r="B15" s="719"/>
      <c r="C15" s="699"/>
      <c r="D15" s="18" t="str">
        <f>+'７　一貫経営収支'!D13</f>
        <v>購入飼料費</v>
      </c>
      <c r="E15" s="19"/>
      <c r="F15" s="438">
        <f>+'７　一貫経営収支'!F13</f>
        <v>29601203</v>
      </c>
      <c r="G15" s="23"/>
      <c r="H15" s="24"/>
      <c r="I15" s="23"/>
      <c r="J15" s="254"/>
      <c r="K15" s="255"/>
      <c r="L15" s="255"/>
      <c r="M15" s="255"/>
      <c r="N15" s="255"/>
      <c r="O15" s="255"/>
      <c r="P15" s="256"/>
    </row>
    <row r="16" spans="2:16" ht="20.25" customHeight="1" x14ac:dyDescent="0.15">
      <c r="B16" s="719"/>
      <c r="C16" s="698"/>
      <c r="D16" s="18" t="str">
        <f>+'７　一貫経営収支'!D14</f>
        <v>種付料</v>
      </c>
      <c r="E16" s="19"/>
      <c r="F16" s="438">
        <f>+'７　一貫経営収支'!F14</f>
        <v>422400</v>
      </c>
      <c r="G16" s="23"/>
      <c r="H16" s="24"/>
      <c r="I16" s="23"/>
      <c r="J16" s="676" t="str">
        <f>+'７　一貫経営収支'!G14</f>
        <v>平均受精回数1.6回，精液＠2000，技術料（初回8000+２回目以降4800）</v>
      </c>
      <c r="K16" s="677"/>
      <c r="L16" s="677"/>
      <c r="M16" s="677"/>
      <c r="N16" s="677"/>
      <c r="O16" s="677"/>
      <c r="P16" s="678"/>
    </row>
    <row r="17" spans="2:16" ht="20.25" customHeight="1" x14ac:dyDescent="0.15">
      <c r="B17" s="719"/>
      <c r="C17" s="698"/>
      <c r="D17" s="18" t="str">
        <f>+'７　一貫経営収支'!D15</f>
        <v>敷料費</v>
      </c>
      <c r="E17" s="19"/>
      <c r="F17" s="438">
        <f>+'７　一貫経営収支'!F15</f>
        <v>461940</v>
      </c>
      <c r="G17" s="23"/>
      <c r="H17" s="24"/>
      <c r="I17" s="23"/>
      <c r="J17" s="676" t="str">
        <f>+'７　一貫経営収支'!G15</f>
        <v>畜産経営診断(先進)全国集計（繁殖20～30頭）@1103，（肥育100～200頭）＠2859</v>
      </c>
      <c r="K17" s="677"/>
      <c r="L17" s="677"/>
      <c r="M17" s="677"/>
      <c r="N17" s="677"/>
      <c r="O17" s="677"/>
      <c r="P17" s="678"/>
    </row>
    <row r="18" spans="2:16" ht="20.25" customHeight="1" x14ac:dyDescent="0.15">
      <c r="B18" s="719"/>
      <c r="C18" s="699"/>
      <c r="D18" s="18" t="str">
        <f>+'７　一貫経営収支'!D16</f>
        <v>診療衛生費</v>
      </c>
      <c r="E18" s="19"/>
      <c r="F18" s="438">
        <f>+'７　一貫経営収支'!F16</f>
        <v>975900</v>
      </c>
      <c r="G18" s="23"/>
      <c r="H18" s="24"/>
      <c r="I18" s="23"/>
      <c r="J18" s="676" t="str">
        <f>+'７　一貫経営収支'!G16</f>
        <v>畜産経営診断(先進)全国集計（繁殖20～30頭）@6610，（肥育100～200頭）＠5184</v>
      </c>
      <c r="K18" s="677"/>
      <c r="L18" s="677"/>
      <c r="M18" s="677"/>
      <c r="N18" s="677"/>
      <c r="O18" s="677"/>
      <c r="P18" s="678"/>
    </row>
    <row r="19" spans="2:16" ht="20.25" customHeight="1" x14ac:dyDescent="0.15">
      <c r="B19" s="719"/>
      <c r="C19" s="699"/>
      <c r="D19" s="18" t="str">
        <f>+'７　一貫経営収支'!D17</f>
        <v>動力光熱費</v>
      </c>
      <c r="E19" s="19"/>
      <c r="F19" s="438">
        <f>+'７　一貫経営収支'!F17</f>
        <v>1072260</v>
      </c>
      <c r="G19" s="23"/>
      <c r="H19" s="24"/>
      <c r="I19" s="23"/>
      <c r="J19" s="676" t="str">
        <f>+'７　一貫経営収支'!G17</f>
        <v>畜産経営診断(先進)全国集計（繁殖20～30頭）@13427，（肥育100～200頭）＠4463</v>
      </c>
      <c r="K19" s="677"/>
      <c r="L19" s="677"/>
      <c r="M19" s="677"/>
      <c r="N19" s="677"/>
      <c r="O19" s="677"/>
      <c r="P19" s="678"/>
    </row>
    <row r="20" spans="2:16" ht="20.25" customHeight="1" x14ac:dyDescent="0.15">
      <c r="B20" s="719"/>
      <c r="C20" s="699"/>
      <c r="D20" s="18" t="str">
        <f>+'７　一貫経営収支'!D18</f>
        <v>諸材料費</v>
      </c>
      <c r="E20" s="19"/>
      <c r="F20" s="438">
        <f>+'７　一貫経営収支'!F18</f>
        <v>789540</v>
      </c>
      <c r="G20" s="23"/>
      <c r="H20" s="24"/>
      <c r="I20" s="23"/>
      <c r="J20" s="676" t="str">
        <f>+'７　一貫経営収支'!G18</f>
        <v>畜産経営診断(先進)全国集計（繁殖20～30頭）@8613，（肥育100～200頭）＠3541</v>
      </c>
      <c r="K20" s="677"/>
      <c r="L20" s="677"/>
      <c r="M20" s="677"/>
      <c r="N20" s="677"/>
      <c r="O20" s="677"/>
      <c r="P20" s="678"/>
    </row>
    <row r="21" spans="2:16" ht="20.25" customHeight="1" x14ac:dyDescent="0.15">
      <c r="B21" s="719"/>
      <c r="C21" s="699"/>
      <c r="D21" s="18" t="str">
        <f>+'７　一貫経営収支'!D19</f>
        <v>小農具費</v>
      </c>
      <c r="E21" s="19"/>
      <c r="F21" s="438">
        <f>+'７　一貫経営収支'!F19</f>
        <v>166230</v>
      </c>
      <c r="G21" s="23"/>
      <c r="H21" s="24"/>
      <c r="I21" s="23"/>
      <c r="J21" s="676" t="str">
        <f>+'７　一貫経営収支'!G19</f>
        <v>畜産経営診断(先進)全国集計（繁殖20～30頭）@2851，（肥育100～200頭）＠538</v>
      </c>
      <c r="K21" s="677"/>
      <c r="L21" s="677"/>
      <c r="M21" s="677"/>
      <c r="N21" s="677"/>
      <c r="O21" s="677"/>
      <c r="P21" s="678"/>
    </row>
    <row r="22" spans="2:16" ht="20.25" customHeight="1" x14ac:dyDescent="0.15">
      <c r="B22" s="719"/>
      <c r="C22" s="699"/>
      <c r="D22" s="18" t="str">
        <f>+'７　一貫経営収支'!D20</f>
        <v>賃料料金</v>
      </c>
      <c r="E22" s="19"/>
      <c r="F22" s="438">
        <f>+'７　一貫経営収支'!F20</f>
        <v>856200</v>
      </c>
      <c r="G22" s="23"/>
      <c r="H22" s="24"/>
      <c r="I22" s="23"/>
      <c r="J22" s="676" t="str">
        <f>+'７　一貫経営収支'!G20</f>
        <v>畜産経営診断(先進)全国集計（繁殖20～30頭）@6805，（肥育100～200頭）＠4347</v>
      </c>
      <c r="K22" s="677"/>
      <c r="L22" s="677"/>
      <c r="M22" s="677"/>
      <c r="N22" s="677"/>
      <c r="O22" s="677"/>
      <c r="P22" s="678"/>
    </row>
    <row r="23" spans="2:16" ht="20.25" customHeight="1" x14ac:dyDescent="0.15">
      <c r="B23" s="719"/>
      <c r="C23" s="699"/>
      <c r="D23" s="436" t="str">
        <f>+'７　一貫経営収支'!D21</f>
        <v>修繕費</v>
      </c>
      <c r="E23" s="19" t="str">
        <f>+'７　一貫経営収支'!E21</f>
        <v>建物・施設</v>
      </c>
      <c r="F23" s="438">
        <f>+'７　一貫経営収支'!F21</f>
        <v>515940</v>
      </c>
      <c r="G23" s="23"/>
      <c r="H23" s="24"/>
      <c r="I23" s="23"/>
      <c r="J23" s="254"/>
      <c r="K23" s="255"/>
      <c r="L23" s="255"/>
      <c r="M23" s="255"/>
      <c r="N23" s="255"/>
      <c r="O23" s="255"/>
      <c r="P23" s="256"/>
    </row>
    <row r="24" spans="2:16" ht="20.25" customHeight="1" x14ac:dyDescent="0.15">
      <c r="B24" s="719"/>
      <c r="C24" s="699"/>
      <c r="D24" s="437"/>
      <c r="E24" s="19" t="str">
        <f>+'７　一貫経営収支'!E22</f>
        <v>機械・器具</v>
      </c>
      <c r="F24" s="438">
        <f>+'７　一貫経営収支'!F22</f>
        <v>805415</v>
      </c>
      <c r="G24" s="23"/>
      <c r="H24" s="24"/>
      <c r="I24" s="23"/>
      <c r="J24" s="682"/>
      <c r="K24" s="683"/>
      <c r="L24" s="683"/>
      <c r="M24" s="683"/>
      <c r="N24" s="683"/>
      <c r="O24" s="683"/>
      <c r="P24" s="684"/>
    </row>
    <row r="25" spans="2:16" ht="20.25" customHeight="1" x14ac:dyDescent="0.15">
      <c r="B25" s="719"/>
      <c r="C25" s="699"/>
      <c r="D25" s="272" t="str">
        <f>+'７　一貫経営収支'!D23</f>
        <v>減価
償却費</v>
      </c>
      <c r="E25" s="201" t="s">
        <v>180</v>
      </c>
      <c r="F25" s="23">
        <f>+'７　一貫経営収支'!F23+'７　一貫経営収支'!F24</f>
        <v>5650664.7058823528</v>
      </c>
      <c r="G25" s="23"/>
      <c r="H25" s="24"/>
      <c r="I25" s="23"/>
      <c r="J25" s="254"/>
      <c r="K25" s="255"/>
      <c r="L25" s="255"/>
      <c r="M25" s="255"/>
      <c r="N25" s="255"/>
      <c r="O25" s="255"/>
      <c r="P25" s="256"/>
    </row>
    <row r="26" spans="2:16" ht="20.25" customHeight="1" x14ac:dyDescent="0.15">
      <c r="B26" s="719"/>
      <c r="C26" s="699"/>
      <c r="D26" s="273"/>
      <c r="E26" s="202" t="str">
        <f>+'７　一貫経営収支'!E25</f>
        <v>家畜</v>
      </c>
      <c r="F26" s="23">
        <f>+'７　一貫経営収支'!F25</f>
        <v>1762500</v>
      </c>
      <c r="G26" s="23"/>
      <c r="H26" s="24"/>
      <c r="I26" s="23"/>
      <c r="J26" s="254"/>
      <c r="K26" s="255"/>
      <c r="L26" s="255"/>
      <c r="M26" s="255"/>
      <c r="N26" s="255"/>
      <c r="O26" s="255"/>
      <c r="P26" s="256"/>
    </row>
    <row r="27" spans="2:16" ht="20.25" customHeight="1" x14ac:dyDescent="0.15">
      <c r="B27" s="719"/>
      <c r="C27" s="699"/>
      <c r="D27" s="18" t="str">
        <f>+'７　一貫経営収支'!D26</f>
        <v>支払地代</v>
      </c>
      <c r="E27" s="19"/>
      <c r="F27" s="23">
        <f>+'７　一貫経営収支'!F26</f>
        <v>195000</v>
      </c>
      <c r="G27" s="23"/>
      <c r="H27" s="24"/>
      <c r="I27" s="23"/>
      <c r="J27" s="324" t="str">
        <f>+'７　一貫経営収支'!G26</f>
        <v>借地6.5ha</v>
      </c>
      <c r="K27" s="255"/>
      <c r="L27" s="255" t="str">
        <f>+'７　一貫経営収支'!I26</f>
        <v>3,000円/10a</v>
      </c>
      <c r="M27" s="255"/>
      <c r="N27" s="255"/>
      <c r="O27" s="255"/>
      <c r="P27" s="256"/>
    </row>
    <row r="28" spans="2:16" ht="20.25" customHeight="1" x14ac:dyDescent="0.15">
      <c r="B28" s="719"/>
      <c r="C28" s="699"/>
      <c r="D28" s="18" t="str">
        <f>+'７　一貫経営収支'!D27</f>
        <v>経費から差し引く育成費用</v>
      </c>
      <c r="E28" s="19"/>
      <c r="F28" s="23">
        <f>+'７　一貫経営収支'!F27</f>
        <v>-1057500</v>
      </c>
      <c r="G28" s="23"/>
      <c r="H28" s="24"/>
      <c r="I28" s="23"/>
      <c r="J28" s="679" t="str">
        <f>+'７　一貫経営収支'!G27</f>
        <v>（15000円×12ヶ月）×（30頭/10年）×（23.5ヶ月/12ヶ月）</v>
      </c>
      <c r="K28" s="680"/>
      <c r="L28" s="680"/>
      <c r="M28" s="680"/>
      <c r="N28" s="680"/>
      <c r="O28" s="680"/>
      <c r="P28" s="681"/>
    </row>
    <row r="29" spans="2:16" ht="20.25" customHeight="1" x14ac:dyDescent="0.15">
      <c r="B29" s="719"/>
      <c r="C29" s="699"/>
      <c r="D29" s="18" t="str">
        <f>+'７　一貫経営収支'!D28</f>
        <v>生産雑費</v>
      </c>
      <c r="E29" s="19"/>
      <c r="F29" s="23">
        <f>+'７　一貫経営収支'!F28</f>
        <v>801675.17343315517</v>
      </c>
      <c r="G29" s="20"/>
      <c r="H29" s="23"/>
      <c r="I29" s="20"/>
      <c r="J29" s="308" t="str">
        <f>+'７　一貫経営収支'!G28</f>
        <v>売上原価の</v>
      </c>
      <c r="K29" s="485">
        <f>+'７　一貫経営収支'!H28</f>
        <v>0.01</v>
      </c>
      <c r="L29" s="485"/>
      <c r="M29" s="309"/>
      <c r="N29" s="309"/>
      <c r="O29" s="309"/>
      <c r="P29" s="310"/>
    </row>
    <row r="30" spans="2:16" ht="20.25" customHeight="1" x14ac:dyDescent="0.15">
      <c r="B30" s="719"/>
      <c r="C30" s="700"/>
      <c r="D30" s="257" t="s">
        <v>105</v>
      </c>
      <c r="E30" s="258"/>
      <c r="F30" s="211">
        <f>SUM(F13:F29)</f>
        <v>80167517.343315512</v>
      </c>
      <c r="G30" s="211"/>
      <c r="H30" s="211">
        <f>SUM(H13:H28)</f>
        <v>0</v>
      </c>
      <c r="I30" s="211">
        <f>SUM(I13:I28)</f>
        <v>0</v>
      </c>
      <c r="J30" s="254"/>
      <c r="K30" s="255"/>
      <c r="L30" s="255"/>
      <c r="M30" s="255"/>
      <c r="N30" s="255"/>
      <c r="O30" s="255"/>
      <c r="P30" s="256"/>
    </row>
    <row r="31" spans="2:16" ht="20.25" customHeight="1" x14ac:dyDescent="0.15">
      <c r="B31" s="719"/>
      <c r="C31" s="672" t="s">
        <v>102</v>
      </c>
      <c r="D31" s="664" t="str">
        <f>+'７　一貫経営収支'!D30</f>
        <v>販売費</v>
      </c>
      <c r="E31" s="26" t="str">
        <f>+'７　一貫経営収支'!E30</f>
        <v>出荷諸経費</v>
      </c>
      <c r="F31" s="23">
        <f>+'７　一貫経営収支'!F30</f>
        <v>597326</v>
      </c>
      <c r="G31" s="23"/>
      <c r="H31" s="24"/>
      <c r="I31" s="23"/>
      <c r="J31" s="682" t="str">
        <f>+'７　一貫経営収支'!G30</f>
        <v>6,158円×97頭</v>
      </c>
      <c r="K31" s="683"/>
      <c r="L31" s="683"/>
      <c r="M31" s="683"/>
      <c r="N31" s="683"/>
      <c r="O31" s="683"/>
      <c r="P31" s="684"/>
    </row>
    <row r="32" spans="2:16" ht="20.25" customHeight="1" x14ac:dyDescent="0.15">
      <c r="B32" s="719"/>
      <c r="C32" s="673"/>
      <c r="D32" s="665"/>
      <c r="E32" s="26" t="str">
        <f>+'７　一貫経営収支'!E31</f>
        <v>運賃</v>
      </c>
      <c r="F32" s="23">
        <f>+'７　一貫経営収支'!F31</f>
        <v>870000</v>
      </c>
      <c r="G32" s="23"/>
      <c r="H32" s="24"/>
      <c r="I32" s="23"/>
      <c r="J32" s="682" t="str">
        <f>+'７　一貫経営収支'!G31</f>
        <v>5,000円×174頭（肥育牛97頭+廃用牛3頭+素牛74頭）</v>
      </c>
      <c r="K32" s="683"/>
      <c r="L32" s="683"/>
      <c r="M32" s="683"/>
      <c r="N32" s="683"/>
      <c r="O32" s="683"/>
      <c r="P32" s="684"/>
    </row>
    <row r="33" spans="2:16" ht="20.25" customHeight="1" x14ac:dyDescent="0.15">
      <c r="B33" s="719"/>
      <c r="C33" s="673"/>
      <c r="D33" s="666"/>
      <c r="E33" s="26" t="str">
        <f>+'７　一貫経営収支'!E32</f>
        <v>販売手数料</v>
      </c>
      <c r="F33" s="23">
        <f>+'７　一貫経営収支'!F32</f>
        <v>2960800.7100000004</v>
      </c>
      <c r="G33" s="23"/>
      <c r="H33" s="24"/>
      <c r="I33" s="23"/>
      <c r="J33" s="682" t="str">
        <f>+'７　一貫経営収支'!G32</f>
        <v>（子牛・老廃販売収入）×（市場手数料4％+ＪＡ手数料0.5%）</v>
      </c>
      <c r="K33" s="683"/>
      <c r="L33" s="683"/>
      <c r="M33" s="683"/>
      <c r="N33" s="683"/>
      <c r="O33" s="683"/>
      <c r="P33" s="684"/>
    </row>
    <row r="34" spans="2:16" ht="20.25" customHeight="1" x14ac:dyDescent="0.15">
      <c r="B34" s="719"/>
      <c r="C34" s="673"/>
      <c r="D34" s="26" t="str">
        <f>+'７　一貫経営収支'!D33</f>
        <v>研修費</v>
      </c>
      <c r="E34" s="27"/>
      <c r="F34" s="23">
        <f>+'７　一貫経営収支'!F33</f>
        <v>36000</v>
      </c>
      <c r="G34" s="23"/>
      <c r="H34" s="24"/>
      <c r="I34" s="23"/>
      <c r="J34" s="682" t="str">
        <f>+'７　一貫経営収支'!G33</f>
        <v>3,000円×12か月</v>
      </c>
      <c r="K34" s="683"/>
      <c r="L34" s="683"/>
      <c r="M34" s="683"/>
      <c r="N34" s="683"/>
      <c r="O34" s="683"/>
      <c r="P34" s="684"/>
    </row>
    <row r="35" spans="2:16" ht="20.25" customHeight="1" x14ac:dyDescent="0.15">
      <c r="B35" s="719"/>
      <c r="C35" s="673"/>
      <c r="D35" s="26" t="str">
        <f>+'７　一貫経営収支'!D34</f>
        <v>事務通信費</v>
      </c>
      <c r="E35" s="27"/>
      <c r="F35" s="23">
        <f>+'７　一貫経営収支'!F34</f>
        <v>36000</v>
      </c>
      <c r="G35" s="23"/>
      <c r="H35" s="24"/>
      <c r="I35" s="23"/>
      <c r="J35" s="682" t="str">
        <f>+'７　一貫経営収支'!G34</f>
        <v>3,000円×12か月</v>
      </c>
      <c r="K35" s="683"/>
      <c r="L35" s="683"/>
      <c r="M35" s="683"/>
      <c r="N35" s="683"/>
      <c r="O35" s="683"/>
      <c r="P35" s="684"/>
    </row>
    <row r="36" spans="2:16" ht="20.25" customHeight="1" x14ac:dyDescent="0.15">
      <c r="B36" s="719"/>
      <c r="C36" s="673"/>
      <c r="D36" s="26" t="str">
        <f>+'７　一貫経営収支'!D35</f>
        <v>共済掛金　等</v>
      </c>
      <c r="E36" s="27"/>
      <c r="F36" s="23">
        <f>+'７　一貫経営収支'!F35</f>
        <v>1770430</v>
      </c>
      <c r="G36" s="23"/>
      <c r="H36" s="24"/>
      <c r="I36" s="23"/>
      <c r="J36" s="682"/>
      <c r="K36" s="683"/>
      <c r="L36" s="683"/>
      <c r="M36" s="683"/>
      <c r="N36" s="683"/>
      <c r="O36" s="683"/>
      <c r="P36" s="684"/>
    </row>
    <row r="37" spans="2:16" ht="20.25" customHeight="1" x14ac:dyDescent="0.15">
      <c r="B37" s="719"/>
      <c r="C37" s="673"/>
      <c r="D37" s="26" t="str">
        <f>+'７　一貫経営収支'!D36</f>
        <v>土地改良費・水利費</v>
      </c>
      <c r="E37" s="27"/>
      <c r="F37" s="23">
        <f>+'７　一貫経営収支'!F36</f>
        <v>0</v>
      </c>
      <c r="G37" s="23"/>
      <c r="H37" s="24"/>
      <c r="I37" s="23"/>
      <c r="J37" s="682" t="s">
        <v>410</v>
      </c>
      <c r="K37" s="683"/>
      <c r="L37" s="683"/>
      <c r="M37" s="683"/>
      <c r="N37" s="683"/>
      <c r="O37" s="683"/>
      <c r="P37" s="684"/>
    </row>
    <row r="38" spans="2:16" ht="20.25" customHeight="1" x14ac:dyDescent="0.15">
      <c r="B38" s="719"/>
      <c r="C38" s="674"/>
      <c r="D38" s="26" t="str">
        <f>+'７　一貫経営収支'!D37</f>
        <v>租税公課</v>
      </c>
      <c r="E38" s="27"/>
      <c r="F38" s="23">
        <f>+'７　一貫経営収支'!F37+'７　一貫経営収支'!F38</f>
        <v>2024407.5333333332</v>
      </c>
      <c r="G38" s="23"/>
      <c r="H38" s="24"/>
      <c r="I38" s="23"/>
      <c r="J38" s="320"/>
      <c r="K38" s="321"/>
      <c r="L38" s="321"/>
      <c r="M38" s="321"/>
      <c r="N38" s="321"/>
      <c r="O38" s="321"/>
      <c r="P38" s="322"/>
    </row>
    <row r="39" spans="2:16" ht="20.25" customHeight="1" x14ac:dyDescent="0.15">
      <c r="B39" s="719"/>
      <c r="C39" s="673"/>
      <c r="D39" s="26" t="str">
        <f>+'７　一貫経営収支'!D39</f>
        <v>管理雑費</v>
      </c>
      <c r="E39" s="27"/>
      <c r="F39" s="23">
        <f>+'７　一貫経営収支'!F39</f>
        <v>83787.51760942761</v>
      </c>
      <c r="G39" s="23"/>
      <c r="H39" s="24"/>
      <c r="I39" s="23"/>
      <c r="J39" s="480" t="str">
        <f>+'７　一貫経営収支'!G39</f>
        <v>販売費・一般管理費の</v>
      </c>
      <c r="K39" s="356"/>
      <c r="L39" s="486">
        <f>+'７　一貫経営収支'!H39</f>
        <v>0.01</v>
      </c>
      <c r="M39" s="356"/>
      <c r="N39" s="356"/>
      <c r="O39" s="356"/>
      <c r="P39" s="357"/>
    </row>
    <row r="40" spans="2:16" ht="20.25" customHeight="1" x14ac:dyDescent="0.15">
      <c r="B40" s="719"/>
      <c r="C40" s="675"/>
      <c r="D40" s="667" t="s">
        <v>148</v>
      </c>
      <c r="E40" s="668"/>
      <c r="F40" s="209">
        <f>SUM(F31:F39)</f>
        <v>8378751.7609427618</v>
      </c>
      <c r="G40" s="209"/>
      <c r="H40" s="222"/>
      <c r="I40" s="228"/>
      <c r="J40" s="682"/>
      <c r="K40" s="683"/>
      <c r="L40" s="683"/>
      <c r="M40" s="683"/>
      <c r="N40" s="683"/>
      <c r="O40" s="683"/>
      <c r="P40" s="684"/>
    </row>
    <row r="41" spans="2:16" ht="20.25" customHeight="1" x14ac:dyDescent="0.15">
      <c r="B41" s="719"/>
      <c r="C41" s="669" t="s">
        <v>149</v>
      </c>
      <c r="D41" s="670"/>
      <c r="E41" s="671"/>
      <c r="F41" s="23">
        <f>+K41*N45</f>
        <v>213300</v>
      </c>
      <c r="G41" s="210"/>
      <c r="H41" s="223"/>
      <c r="I41" s="229"/>
      <c r="J41" s="24" t="s">
        <v>151</v>
      </c>
      <c r="K41" s="496">
        <v>900</v>
      </c>
      <c r="L41" s="213" t="s">
        <v>152</v>
      </c>
      <c r="M41" s="213"/>
      <c r="N41" s="213"/>
      <c r="O41" s="213"/>
      <c r="P41" s="214"/>
    </row>
    <row r="42" spans="2:16" ht="20.25" customHeight="1" x14ac:dyDescent="0.15">
      <c r="B42" s="662" t="s">
        <v>150</v>
      </c>
      <c r="C42" s="663"/>
      <c r="D42" s="663"/>
      <c r="E42" s="663"/>
      <c r="F42" s="212">
        <f>F30+F40+F41</f>
        <v>88759569.104258269</v>
      </c>
      <c r="G42" s="212"/>
      <c r="H42" s="224"/>
      <c r="I42" s="212"/>
      <c r="J42" s="682"/>
      <c r="K42" s="683"/>
      <c r="L42" s="683"/>
      <c r="M42" s="683"/>
      <c r="N42" s="683"/>
      <c r="O42" s="683"/>
      <c r="P42" s="684"/>
    </row>
    <row r="43" spans="2:16" ht="20.25" customHeight="1" x14ac:dyDescent="0.15">
      <c r="B43" s="713" t="s">
        <v>153</v>
      </c>
      <c r="C43" s="714"/>
      <c r="D43" s="714"/>
      <c r="E43" s="714"/>
      <c r="F43" s="215">
        <f>F12-F42</f>
        <v>5034960.7037417293</v>
      </c>
      <c r="G43" s="215"/>
      <c r="H43" s="225"/>
      <c r="I43" s="215"/>
      <c r="J43" s="682"/>
      <c r="K43" s="683"/>
      <c r="L43" s="683"/>
      <c r="M43" s="683"/>
      <c r="N43" s="683"/>
      <c r="O43" s="683"/>
      <c r="P43" s="684"/>
    </row>
    <row r="44" spans="2:16" ht="20.25" customHeight="1" x14ac:dyDescent="0.15">
      <c r="B44" s="713" t="s">
        <v>154</v>
      </c>
      <c r="C44" s="714"/>
      <c r="D44" s="714"/>
      <c r="E44" s="714"/>
      <c r="F44" s="217">
        <f>F43/F12</f>
        <v>5.3680749976021347E-2</v>
      </c>
      <c r="G44" s="217"/>
      <c r="H44" s="226"/>
      <c r="I44" s="217"/>
      <c r="J44" s="682"/>
      <c r="K44" s="683"/>
      <c r="L44" s="683"/>
      <c r="M44" s="683"/>
      <c r="N44" s="683"/>
      <c r="O44" s="683"/>
      <c r="P44" s="684"/>
    </row>
    <row r="45" spans="2:16" ht="20.25" customHeight="1" x14ac:dyDescent="0.15">
      <c r="B45" s="713" t="s">
        <v>158</v>
      </c>
      <c r="C45" s="714"/>
      <c r="D45" s="714"/>
      <c r="E45" s="714"/>
      <c r="F45" s="215">
        <f>K45+N45</f>
        <v>5236.9852000000001</v>
      </c>
      <c r="G45" s="215"/>
      <c r="H45" s="225"/>
      <c r="I45" s="215"/>
      <c r="J45" s="24" t="s">
        <v>155</v>
      </c>
      <c r="K45" s="496">
        <f>'５　繁殖・肥育作業時間計 '!AN45</f>
        <v>4999.9852000000001</v>
      </c>
      <c r="L45" s="213" t="s">
        <v>156</v>
      </c>
      <c r="M45" s="216" t="s">
        <v>157</v>
      </c>
      <c r="N45" s="496">
        <f>ROUND('５　繁殖・肥育作業時間計 '!AN47,0)</f>
        <v>237</v>
      </c>
      <c r="O45" s="213" t="s">
        <v>156</v>
      </c>
      <c r="P45" s="214"/>
    </row>
    <row r="46" spans="2:16" ht="20.25" customHeight="1" thickBot="1" x14ac:dyDescent="0.2">
      <c r="B46" s="720" t="s">
        <v>159</v>
      </c>
      <c r="C46" s="721"/>
      <c r="D46" s="721"/>
      <c r="E46" s="721"/>
      <c r="F46" s="218">
        <f>F43/K45</f>
        <v>1006.9951214539053</v>
      </c>
      <c r="G46" s="218"/>
      <c r="H46" s="227"/>
      <c r="I46" s="218"/>
      <c r="J46" s="715"/>
      <c r="K46" s="716"/>
      <c r="L46" s="716"/>
      <c r="M46" s="716"/>
      <c r="N46" s="716"/>
      <c r="O46" s="716"/>
      <c r="P46" s="717"/>
    </row>
  </sheetData>
  <mergeCells count="45">
    <mergeCell ref="B43:E43"/>
    <mergeCell ref="J35:P35"/>
    <mergeCell ref="B44:E44"/>
    <mergeCell ref="B45:E45"/>
    <mergeCell ref="J46:P46"/>
    <mergeCell ref="B13:B41"/>
    <mergeCell ref="B46:E46"/>
    <mergeCell ref="J42:P42"/>
    <mergeCell ref="J43:P43"/>
    <mergeCell ref="J44:P44"/>
    <mergeCell ref="J24:P24"/>
    <mergeCell ref="J36:P36"/>
    <mergeCell ref="J37:P37"/>
    <mergeCell ref="J40:P40"/>
    <mergeCell ref="J31:P31"/>
    <mergeCell ref="J32:P32"/>
    <mergeCell ref="J34:P34"/>
    <mergeCell ref="J3:P4"/>
    <mergeCell ref="J5:P5"/>
    <mergeCell ref="J8:P8"/>
    <mergeCell ref="J13:P13"/>
    <mergeCell ref="J6:P6"/>
    <mergeCell ref="J7:P7"/>
    <mergeCell ref="J9:P9"/>
    <mergeCell ref="J10:P10"/>
    <mergeCell ref="J11:P11"/>
    <mergeCell ref="J12:P12"/>
    <mergeCell ref="J16:P16"/>
    <mergeCell ref="J17:P17"/>
    <mergeCell ref="J18:P18"/>
    <mergeCell ref="J19:P19"/>
    <mergeCell ref="J20:P20"/>
    <mergeCell ref="J21:P21"/>
    <mergeCell ref="J22:P22"/>
    <mergeCell ref="J28:P28"/>
    <mergeCell ref="J33:P33"/>
    <mergeCell ref="B3:E4"/>
    <mergeCell ref="D12:E12"/>
    <mergeCell ref="B5:C12"/>
    <mergeCell ref="C13:C30"/>
    <mergeCell ref="B42:E42"/>
    <mergeCell ref="D31:D33"/>
    <mergeCell ref="D40:E40"/>
    <mergeCell ref="C41:E41"/>
    <mergeCell ref="C31:C40"/>
  </mergeCells>
  <phoneticPr fontId="6"/>
  <pageMargins left="0.78740157480314965" right="0.78740157480314965" top="0.78740157480314965" bottom="0.78740157480314965" header="0.39370078740157483" footer="0.39370078740157483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47"/>
  <sheetViews>
    <sheetView showZeros="0" zoomScale="75" zoomScaleNormal="75" zoomScaleSheetLayoutView="80" workbookViewId="0"/>
  </sheetViews>
  <sheetFormatPr defaultRowHeight="13.5" x14ac:dyDescent="0.15"/>
  <cols>
    <col min="1" max="1" width="1.625" style="28" customWidth="1"/>
    <col min="2" max="2" width="6.25" style="28" customWidth="1"/>
    <col min="3" max="3" width="17" style="28" customWidth="1"/>
    <col min="4" max="39" width="6.125" style="28" customWidth="1"/>
    <col min="40" max="40" width="7" style="28" customWidth="1"/>
    <col min="41" max="41" width="1.5" style="28" customWidth="1"/>
    <col min="42" max="16384" width="9" style="28"/>
  </cols>
  <sheetData>
    <row r="1" spans="2:63" ht="9.9499999999999993" customHeight="1" x14ac:dyDescent="0.15"/>
    <row r="2" spans="2:63" ht="24.95" customHeight="1" x14ac:dyDescent="0.15">
      <c r="B2" s="2" t="s">
        <v>378</v>
      </c>
      <c r="C2" s="2"/>
      <c r="D2" s="5"/>
      <c r="E2" s="5"/>
      <c r="F2" s="5"/>
      <c r="G2" s="5"/>
      <c r="H2" s="5"/>
      <c r="I2" s="5"/>
      <c r="J2" s="5"/>
      <c r="K2" s="5"/>
      <c r="L2" s="187" t="s">
        <v>312</v>
      </c>
      <c r="M2" s="172" t="s">
        <v>313</v>
      </c>
      <c r="N2" s="45"/>
      <c r="O2" s="185"/>
      <c r="P2" s="172"/>
      <c r="Q2" s="5"/>
      <c r="R2" s="5"/>
      <c r="S2" s="5"/>
      <c r="T2" s="5"/>
      <c r="U2" s="5"/>
      <c r="W2" s="30"/>
      <c r="X2" s="5"/>
      <c r="Y2" s="30" t="s">
        <v>314</v>
      </c>
      <c r="Z2" s="5" t="s">
        <v>387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/>
      <c r="C3" s="2"/>
      <c r="D3" s="5"/>
      <c r="E3" s="5"/>
      <c r="F3" s="5"/>
      <c r="G3" s="5"/>
      <c r="H3" s="5"/>
      <c r="I3" s="5"/>
      <c r="J3" s="5"/>
      <c r="K3" s="5"/>
      <c r="L3" s="5"/>
      <c r="M3" s="30"/>
      <c r="N3" s="5"/>
      <c r="O3" s="5"/>
      <c r="P3" s="30"/>
      <c r="Q3" s="5"/>
      <c r="R3" s="5"/>
      <c r="S3" s="5"/>
      <c r="T3" s="5"/>
      <c r="U3" s="5"/>
      <c r="V3" s="5"/>
      <c r="W3" s="30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25" customHeight="1" x14ac:dyDescent="0.15">
      <c r="B4" s="727" t="s">
        <v>388</v>
      </c>
      <c r="C4" s="728"/>
      <c r="D4" s="724">
        <v>1</v>
      </c>
      <c r="E4" s="725"/>
      <c r="F4" s="726"/>
      <c r="G4" s="724">
        <v>2</v>
      </c>
      <c r="H4" s="725"/>
      <c r="I4" s="726"/>
      <c r="J4" s="724">
        <v>3</v>
      </c>
      <c r="K4" s="725"/>
      <c r="L4" s="726"/>
      <c r="M4" s="724">
        <v>4</v>
      </c>
      <c r="N4" s="725"/>
      <c r="O4" s="726"/>
      <c r="P4" s="724">
        <v>5</v>
      </c>
      <c r="Q4" s="725"/>
      <c r="R4" s="726"/>
      <c r="S4" s="724">
        <v>6</v>
      </c>
      <c r="T4" s="725"/>
      <c r="U4" s="726"/>
      <c r="V4" s="724">
        <v>7</v>
      </c>
      <c r="W4" s="725"/>
      <c r="X4" s="726"/>
      <c r="Y4" s="724">
        <v>8</v>
      </c>
      <c r="Z4" s="725"/>
      <c r="AA4" s="726"/>
      <c r="AB4" s="724">
        <v>9</v>
      </c>
      <c r="AC4" s="725"/>
      <c r="AD4" s="726"/>
      <c r="AE4" s="724">
        <v>10</v>
      </c>
      <c r="AF4" s="725"/>
      <c r="AG4" s="726"/>
      <c r="AH4" s="724">
        <v>11</v>
      </c>
      <c r="AI4" s="725"/>
      <c r="AJ4" s="726"/>
      <c r="AK4" s="724">
        <v>12</v>
      </c>
      <c r="AL4" s="725"/>
      <c r="AM4" s="726"/>
      <c r="AN4" s="731" t="s">
        <v>23</v>
      </c>
    </row>
    <row r="5" spans="2:63" ht="20.25" customHeight="1" x14ac:dyDescent="0.15">
      <c r="B5" s="729"/>
      <c r="C5" s="730"/>
      <c r="D5" s="403" t="s">
        <v>24</v>
      </c>
      <c r="E5" s="404" t="s">
        <v>25</v>
      </c>
      <c r="F5" s="38" t="s">
        <v>26</v>
      </c>
      <c r="G5" s="403" t="s">
        <v>24</v>
      </c>
      <c r="H5" s="38" t="s">
        <v>25</v>
      </c>
      <c r="I5" s="38" t="s">
        <v>26</v>
      </c>
      <c r="J5" s="403" t="s">
        <v>24</v>
      </c>
      <c r="K5" s="38" t="s">
        <v>25</v>
      </c>
      <c r="L5" s="38" t="s">
        <v>26</v>
      </c>
      <c r="M5" s="403" t="s">
        <v>24</v>
      </c>
      <c r="N5" s="38" t="s">
        <v>25</v>
      </c>
      <c r="O5" s="38" t="s">
        <v>26</v>
      </c>
      <c r="P5" s="403" t="s">
        <v>24</v>
      </c>
      <c r="Q5" s="38" t="s">
        <v>25</v>
      </c>
      <c r="R5" s="38" t="s">
        <v>26</v>
      </c>
      <c r="S5" s="403" t="s">
        <v>24</v>
      </c>
      <c r="T5" s="405" t="s">
        <v>25</v>
      </c>
      <c r="U5" s="405" t="s">
        <v>26</v>
      </c>
      <c r="V5" s="403" t="s">
        <v>24</v>
      </c>
      <c r="W5" s="38" t="s">
        <v>25</v>
      </c>
      <c r="X5" s="38" t="s">
        <v>26</v>
      </c>
      <c r="Y5" s="403" t="s">
        <v>24</v>
      </c>
      <c r="Z5" s="38" t="s">
        <v>25</v>
      </c>
      <c r="AA5" s="38" t="s">
        <v>26</v>
      </c>
      <c r="AB5" s="403" t="s">
        <v>24</v>
      </c>
      <c r="AC5" s="38" t="s">
        <v>25</v>
      </c>
      <c r="AD5" s="38" t="s">
        <v>26</v>
      </c>
      <c r="AE5" s="403" t="s">
        <v>24</v>
      </c>
      <c r="AF5" s="38" t="s">
        <v>25</v>
      </c>
      <c r="AG5" s="38" t="s">
        <v>26</v>
      </c>
      <c r="AH5" s="403" t="s">
        <v>24</v>
      </c>
      <c r="AI5" s="38" t="s">
        <v>25</v>
      </c>
      <c r="AJ5" s="38" t="s">
        <v>26</v>
      </c>
      <c r="AK5" s="403" t="s">
        <v>24</v>
      </c>
      <c r="AL5" s="38" t="s">
        <v>25</v>
      </c>
      <c r="AM5" s="38" t="s">
        <v>26</v>
      </c>
      <c r="AN5" s="732"/>
    </row>
    <row r="6" spans="2:63" ht="20.25" customHeight="1" x14ac:dyDescent="0.15">
      <c r="B6" s="426"/>
      <c r="C6" s="427" t="s">
        <v>315</v>
      </c>
      <c r="D6" s="328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329"/>
    </row>
    <row r="7" spans="2:63" ht="20.25" customHeight="1" x14ac:dyDescent="0.15">
      <c r="B7" s="733" t="s">
        <v>316</v>
      </c>
      <c r="C7" s="734"/>
      <c r="D7" s="330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30"/>
      <c r="Q7" s="5"/>
      <c r="R7" s="5"/>
      <c r="S7" s="5"/>
      <c r="T7" s="5"/>
      <c r="V7" s="5"/>
      <c r="W7" s="5"/>
      <c r="X7" s="5"/>
      <c r="Y7" s="5"/>
      <c r="Z7" s="5"/>
      <c r="AA7" s="5" t="s">
        <v>389</v>
      </c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9"/>
    </row>
    <row r="8" spans="2:63" ht="20.25" customHeight="1" x14ac:dyDescent="0.15">
      <c r="B8" s="733"/>
      <c r="C8" s="734"/>
      <c r="D8" s="330"/>
      <c r="E8" s="5"/>
      <c r="F8" s="5"/>
      <c r="G8" s="5"/>
      <c r="H8" s="5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B8" s="5"/>
      <c r="AC8" s="5"/>
      <c r="AD8" s="735"/>
      <c r="AE8" s="736"/>
      <c r="AF8" s="5"/>
      <c r="AG8" s="5"/>
      <c r="AH8" s="5"/>
      <c r="AI8" s="5"/>
      <c r="AJ8" s="5"/>
      <c r="AK8" s="5"/>
      <c r="AL8" s="5"/>
      <c r="AM8" s="5"/>
      <c r="AN8" s="39"/>
    </row>
    <row r="9" spans="2:63" ht="20.25" customHeight="1" x14ac:dyDescent="0.15">
      <c r="B9" s="733"/>
      <c r="C9" s="734"/>
      <c r="D9" s="330"/>
      <c r="E9" s="5"/>
      <c r="F9" s="5"/>
      <c r="G9" s="5"/>
      <c r="H9" s="5"/>
      <c r="I9" s="5"/>
      <c r="J9" s="5"/>
      <c r="K9" s="5"/>
      <c r="L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5"/>
      <c r="AD9" s="5" t="s">
        <v>317</v>
      </c>
      <c r="AE9" s="5"/>
      <c r="AF9" s="5"/>
      <c r="AG9" s="5"/>
      <c r="AH9" s="5"/>
      <c r="AI9" s="5"/>
      <c r="AJ9" s="5"/>
      <c r="AK9" s="5"/>
      <c r="AL9" s="5"/>
      <c r="AM9" s="5"/>
      <c r="AN9" s="39"/>
    </row>
    <row r="10" spans="2:63" ht="20.25" customHeight="1" x14ac:dyDescent="0.15">
      <c r="B10" s="729"/>
      <c r="C10" s="730"/>
      <c r="D10" s="406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8"/>
    </row>
    <row r="11" spans="2:63" ht="20.25" customHeight="1" x14ac:dyDescent="0.15">
      <c r="B11" s="737" t="s">
        <v>209</v>
      </c>
      <c r="C11" s="409" t="s">
        <v>307</v>
      </c>
      <c r="D11" s="179">
        <f>3.24*10</f>
        <v>32.400000000000006</v>
      </c>
      <c r="E11" s="40">
        <f>3.24*10</f>
        <v>32.400000000000006</v>
      </c>
      <c r="F11" s="40">
        <f>3.24*11</f>
        <v>35.64</v>
      </c>
      <c r="G11" s="179">
        <f>3.24*10</f>
        <v>32.400000000000006</v>
      </c>
      <c r="H11" s="40">
        <f>3.24*10</f>
        <v>32.400000000000006</v>
      </c>
      <c r="I11" s="40">
        <f>3.24*8</f>
        <v>25.92</v>
      </c>
      <c r="J11" s="179">
        <f>3.24*10</f>
        <v>32.400000000000006</v>
      </c>
      <c r="K11" s="40">
        <f>3.24*10</f>
        <v>32.400000000000006</v>
      </c>
      <c r="L11" s="40">
        <f>3.24*11</f>
        <v>35.64</v>
      </c>
      <c r="M11" s="179">
        <f>3.24*10</f>
        <v>32.400000000000006</v>
      </c>
      <c r="N11" s="40">
        <f>3.24*10</f>
        <v>32.400000000000006</v>
      </c>
      <c r="O11" s="40">
        <f>3.24*10</f>
        <v>32.400000000000006</v>
      </c>
      <c r="P11" s="179">
        <f>3.24*10</f>
        <v>32.400000000000006</v>
      </c>
      <c r="Q11" s="40">
        <f>3.24*10</f>
        <v>32.400000000000006</v>
      </c>
      <c r="R11" s="40">
        <f>3.24*11</f>
        <v>35.64</v>
      </c>
      <c r="S11" s="179">
        <f>3.24*10</f>
        <v>32.400000000000006</v>
      </c>
      <c r="T11" s="40">
        <f>3.24*10</f>
        <v>32.400000000000006</v>
      </c>
      <c r="U11" s="40">
        <f>3.24*10</f>
        <v>32.400000000000006</v>
      </c>
      <c r="V11" s="179">
        <f>3.24*10</f>
        <v>32.400000000000006</v>
      </c>
      <c r="W11" s="40">
        <f>3.24*10</f>
        <v>32.400000000000006</v>
      </c>
      <c r="X11" s="40">
        <f>3.24*11</f>
        <v>35.64</v>
      </c>
      <c r="Y11" s="179">
        <f>3.24*10</f>
        <v>32.400000000000006</v>
      </c>
      <c r="Z11" s="40">
        <f>3.24*10</f>
        <v>32.400000000000006</v>
      </c>
      <c r="AA11" s="40">
        <f>3.24*11</f>
        <v>35.64</v>
      </c>
      <c r="AB11" s="179">
        <f>3.24*10</f>
        <v>32.400000000000006</v>
      </c>
      <c r="AC11" s="40">
        <f>3.24*10</f>
        <v>32.400000000000006</v>
      </c>
      <c r="AD11" s="40">
        <f>3.24*10</f>
        <v>32.400000000000006</v>
      </c>
      <c r="AE11" s="179">
        <f>3.24*10</f>
        <v>32.400000000000006</v>
      </c>
      <c r="AF11" s="40">
        <f>3.24*10</f>
        <v>32.400000000000006</v>
      </c>
      <c r="AG11" s="40">
        <f>3.24*11</f>
        <v>35.64</v>
      </c>
      <c r="AH11" s="179">
        <f>3.24*10</f>
        <v>32.400000000000006</v>
      </c>
      <c r="AI11" s="40">
        <f>3.24*10</f>
        <v>32.400000000000006</v>
      </c>
      <c r="AJ11" s="40">
        <f>3.24*10</f>
        <v>32.400000000000006</v>
      </c>
      <c r="AK11" s="179">
        <f>3.24*10</f>
        <v>32.400000000000006</v>
      </c>
      <c r="AL11" s="40">
        <f>3.24*10</f>
        <v>32.400000000000006</v>
      </c>
      <c r="AM11" s="40">
        <f>3.24*11</f>
        <v>35.64</v>
      </c>
      <c r="AN11" s="475">
        <f>SUM(D11:AM11)</f>
        <v>1182.5999999999999</v>
      </c>
    </row>
    <row r="12" spans="2:63" ht="20.25" customHeight="1" x14ac:dyDescent="0.15">
      <c r="B12" s="738"/>
      <c r="C12" s="473" t="s">
        <v>308</v>
      </c>
      <c r="D12" s="179">
        <v>8.5660000000000007</v>
      </c>
      <c r="E12" s="40">
        <v>8.5660000000000007</v>
      </c>
      <c r="F12" s="40">
        <v>9.422600000000001</v>
      </c>
      <c r="G12" s="179">
        <v>8.5660000000000007</v>
      </c>
      <c r="H12" s="40">
        <v>8.5660000000000007</v>
      </c>
      <c r="I12" s="40">
        <v>6.8528000000000002</v>
      </c>
      <c r="J12" s="179">
        <v>8.5660000000000007</v>
      </c>
      <c r="K12" s="40">
        <v>4.2830000000000004</v>
      </c>
      <c r="L12" s="40">
        <v>4.7113000000000005</v>
      </c>
      <c r="M12" s="179">
        <v>4.2830000000000004</v>
      </c>
      <c r="N12" s="40">
        <v>4.2830000000000004</v>
      </c>
      <c r="O12" s="40">
        <v>4.2830000000000004</v>
      </c>
      <c r="P12" s="179">
        <v>4.2830000000000004</v>
      </c>
      <c r="Q12" s="40">
        <v>4.2830000000000004</v>
      </c>
      <c r="R12" s="40">
        <v>4.7113000000000005</v>
      </c>
      <c r="S12" s="179">
        <v>4.2830000000000004</v>
      </c>
      <c r="T12" s="40">
        <v>4.2830000000000004</v>
      </c>
      <c r="U12" s="40">
        <v>4.2830000000000004</v>
      </c>
      <c r="V12" s="179">
        <v>4.2830000000000004</v>
      </c>
      <c r="W12" s="40">
        <v>4.2830000000000004</v>
      </c>
      <c r="X12" s="40">
        <v>4.7113000000000005</v>
      </c>
      <c r="Y12" s="179">
        <v>4.2830000000000004</v>
      </c>
      <c r="Z12" s="40">
        <v>4.2830000000000004</v>
      </c>
      <c r="AA12" s="40">
        <v>4.7113000000000005</v>
      </c>
      <c r="AB12" s="179">
        <v>4.2830000000000004</v>
      </c>
      <c r="AC12" s="40">
        <v>8.5660000000000007</v>
      </c>
      <c r="AD12" s="40">
        <v>8.5660000000000007</v>
      </c>
      <c r="AE12" s="179">
        <v>8.5660000000000007</v>
      </c>
      <c r="AF12" s="40">
        <v>8.5660000000000007</v>
      </c>
      <c r="AG12" s="40">
        <v>9.422600000000001</v>
      </c>
      <c r="AH12" s="179">
        <v>8.5660000000000007</v>
      </c>
      <c r="AI12" s="40">
        <v>8.5660000000000007</v>
      </c>
      <c r="AJ12" s="40">
        <v>8.5660000000000007</v>
      </c>
      <c r="AK12" s="179">
        <v>8.5660000000000007</v>
      </c>
      <c r="AL12" s="40">
        <v>8.5660000000000007</v>
      </c>
      <c r="AM12" s="40">
        <v>9.422600000000001</v>
      </c>
      <c r="AN12" s="475">
        <f t="shared" ref="AN12:AN13" si="0">SUM(D12:AM12)</f>
        <v>233.8518</v>
      </c>
    </row>
    <row r="13" spans="2:63" ht="20.25" customHeight="1" x14ac:dyDescent="0.15">
      <c r="B13" s="738"/>
      <c r="C13" s="474" t="s">
        <v>379</v>
      </c>
      <c r="D13" s="179">
        <v>9.4</v>
      </c>
      <c r="E13" s="40">
        <v>9.4</v>
      </c>
      <c r="F13" s="40">
        <v>10.34</v>
      </c>
      <c r="G13" s="179">
        <v>9.4</v>
      </c>
      <c r="H13" s="40">
        <v>9.4</v>
      </c>
      <c r="I13" s="40">
        <v>7.5200000000000005</v>
      </c>
      <c r="J13" s="179">
        <v>9.4</v>
      </c>
      <c r="K13" s="40">
        <v>7.9</v>
      </c>
      <c r="L13" s="40">
        <v>8.69</v>
      </c>
      <c r="M13" s="179">
        <v>7.9</v>
      </c>
      <c r="N13" s="40">
        <v>7.9</v>
      </c>
      <c r="O13" s="40">
        <v>8.0500000000000007</v>
      </c>
      <c r="P13" s="179">
        <v>7.9</v>
      </c>
      <c r="Q13" s="40">
        <v>7.9</v>
      </c>
      <c r="R13" s="40">
        <v>8.69</v>
      </c>
      <c r="S13" s="179">
        <v>7.9</v>
      </c>
      <c r="T13" s="40">
        <v>7.9</v>
      </c>
      <c r="U13" s="40">
        <v>8.0500000000000007</v>
      </c>
      <c r="V13" s="179">
        <v>7.9</v>
      </c>
      <c r="W13" s="40">
        <v>7.9</v>
      </c>
      <c r="X13" s="40">
        <v>8.69</v>
      </c>
      <c r="Y13" s="179">
        <v>7.9</v>
      </c>
      <c r="Z13" s="40">
        <v>7.9</v>
      </c>
      <c r="AA13" s="40">
        <v>8.59</v>
      </c>
      <c r="AB13" s="179">
        <v>7.9</v>
      </c>
      <c r="AC13" s="40">
        <v>9.4</v>
      </c>
      <c r="AD13" s="40">
        <v>9.6999999999999993</v>
      </c>
      <c r="AE13" s="179">
        <v>9.4</v>
      </c>
      <c r="AF13" s="40">
        <v>9.4</v>
      </c>
      <c r="AG13" s="40">
        <v>10.34</v>
      </c>
      <c r="AH13" s="179">
        <v>9.4</v>
      </c>
      <c r="AI13" s="40">
        <v>9.4</v>
      </c>
      <c r="AJ13" s="40">
        <v>9.6999999999999993</v>
      </c>
      <c r="AK13" s="179">
        <v>9.4</v>
      </c>
      <c r="AL13" s="40">
        <v>9.4</v>
      </c>
      <c r="AM13" s="40">
        <v>10.34</v>
      </c>
      <c r="AN13" s="475">
        <f t="shared" si="0"/>
        <v>316.29999999999995</v>
      </c>
    </row>
    <row r="14" spans="2:63" ht="20.25" customHeight="1" x14ac:dyDescent="0.15">
      <c r="B14" s="722" t="s">
        <v>390</v>
      </c>
      <c r="C14" s="425" t="s">
        <v>307</v>
      </c>
      <c r="D14" s="179">
        <f>3.8*10</f>
        <v>38</v>
      </c>
      <c r="E14" s="410">
        <f>3.8*10</f>
        <v>38</v>
      </c>
      <c r="F14" s="411">
        <f>3.8*11</f>
        <v>41.8</v>
      </c>
      <c r="G14" s="179">
        <f>3.8*10</f>
        <v>38</v>
      </c>
      <c r="H14" s="410">
        <f>3.8*10</f>
        <v>38</v>
      </c>
      <c r="I14" s="411">
        <f>3.8*8</f>
        <v>30.4</v>
      </c>
      <c r="J14" s="179">
        <f>3.8*10</f>
        <v>38</v>
      </c>
      <c r="K14" s="410">
        <f>3.8*10</f>
        <v>38</v>
      </c>
      <c r="L14" s="411">
        <f>3.8*11</f>
        <v>41.8</v>
      </c>
      <c r="M14" s="179">
        <f>3.8*10</f>
        <v>38</v>
      </c>
      <c r="N14" s="410">
        <f>3.8*10</f>
        <v>38</v>
      </c>
      <c r="O14" s="411">
        <f>3.8*10</f>
        <v>38</v>
      </c>
      <c r="P14" s="179">
        <f>3.8*10</f>
        <v>38</v>
      </c>
      <c r="Q14" s="410">
        <f>3.8*10</f>
        <v>38</v>
      </c>
      <c r="R14" s="411">
        <f>3.8*11</f>
        <v>41.8</v>
      </c>
      <c r="S14" s="179">
        <f>3.8*10</f>
        <v>38</v>
      </c>
      <c r="T14" s="410">
        <f>3.8*10</f>
        <v>38</v>
      </c>
      <c r="U14" s="411">
        <f>3.8*10</f>
        <v>38</v>
      </c>
      <c r="V14" s="179">
        <f>3.8*10</f>
        <v>38</v>
      </c>
      <c r="W14" s="410">
        <f>3.8*10</f>
        <v>38</v>
      </c>
      <c r="X14" s="411">
        <f>3.8*11</f>
        <v>41.8</v>
      </c>
      <c r="Y14" s="179">
        <f>3.8*10</f>
        <v>38</v>
      </c>
      <c r="Z14" s="410">
        <f>3.8*10</f>
        <v>38</v>
      </c>
      <c r="AA14" s="411">
        <f>3.8*11</f>
        <v>41.8</v>
      </c>
      <c r="AB14" s="179">
        <f>3.8*10</f>
        <v>38</v>
      </c>
      <c r="AC14" s="410">
        <f>3.8*10</f>
        <v>38</v>
      </c>
      <c r="AD14" s="411">
        <f>3.8*10</f>
        <v>38</v>
      </c>
      <c r="AE14" s="179">
        <f>3.8*10</f>
        <v>38</v>
      </c>
      <c r="AF14" s="410">
        <f>3.8*10</f>
        <v>38</v>
      </c>
      <c r="AG14" s="411">
        <f>3.8*11</f>
        <v>41.8</v>
      </c>
      <c r="AH14" s="179">
        <f>3.8*10</f>
        <v>38</v>
      </c>
      <c r="AI14" s="410">
        <f>3.8*10</f>
        <v>38</v>
      </c>
      <c r="AJ14" s="411">
        <f>3.8*10</f>
        <v>38</v>
      </c>
      <c r="AK14" s="179">
        <f>3.8*10</f>
        <v>38</v>
      </c>
      <c r="AL14" s="410">
        <f>3.8*10</f>
        <v>38</v>
      </c>
      <c r="AM14" s="411">
        <f>3.8*11</f>
        <v>41.8</v>
      </c>
      <c r="AN14" s="475">
        <f t="shared" ref="AN14:AN30" si="1">SUM(D14:AM14)</f>
        <v>1386.9999999999998</v>
      </c>
    </row>
    <row r="15" spans="2:63" ht="20.25" customHeight="1" x14ac:dyDescent="0.15">
      <c r="B15" s="723"/>
      <c r="C15" s="425" t="s">
        <v>308</v>
      </c>
      <c r="D15" s="179">
        <f>1.5*10</f>
        <v>15</v>
      </c>
      <c r="E15" s="412">
        <v>15</v>
      </c>
      <c r="F15" s="411">
        <f>1.5*11</f>
        <v>16.5</v>
      </c>
      <c r="G15" s="179">
        <v>15</v>
      </c>
      <c r="H15" s="412">
        <v>15</v>
      </c>
      <c r="I15" s="411">
        <f>1.5*8</f>
        <v>12</v>
      </c>
      <c r="J15" s="179">
        <v>15</v>
      </c>
      <c r="K15" s="412">
        <v>15</v>
      </c>
      <c r="L15" s="411">
        <f>1.5*11</f>
        <v>16.5</v>
      </c>
      <c r="M15" s="179">
        <v>15</v>
      </c>
      <c r="N15" s="412">
        <v>15</v>
      </c>
      <c r="O15" s="411">
        <v>15</v>
      </c>
      <c r="P15" s="179">
        <v>15</v>
      </c>
      <c r="Q15" s="412">
        <v>15</v>
      </c>
      <c r="R15" s="411">
        <f>1.5*11</f>
        <v>16.5</v>
      </c>
      <c r="S15" s="179">
        <v>15</v>
      </c>
      <c r="T15" s="412">
        <v>15</v>
      </c>
      <c r="U15" s="411">
        <v>15</v>
      </c>
      <c r="V15" s="179">
        <v>15</v>
      </c>
      <c r="W15" s="412">
        <v>15</v>
      </c>
      <c r="X15" s="411">
        <f>1.5*11</f>
        <v>16.5</v>
      </c>
      <c r="Y15" s="179">
        <v>15</v>
      </c>
      <c r="Z15" s="412">
        <v>15</v>
      </c>
      <c r="AA15" s="411">
        <f>1.5*11</f>
        <v>16.5</v>
      </c>
      <c r="AB15" s="179">
        <v>15</v>
      </c>
      <c r="AC15" s="412">
        <v>15</v>
      </c>
      <c r="AD15" s="411">
        <v>15</v>
      </c>
      <c r="AE15" s="179">
        <v>15</v>
      </c>
      <c r="AF15" s="412">
        <v>15</v>
      </c>
      <c r="AG15" s="411">
        <f>1.5*11</f>
        <v>16.5</v>
      </c>
      <c r="AH15" s="179">
        <v>15</v>
      </c>
      <c r="AI15" s="412">
        <v>15</v>
      </c>
      <c r="AJ15" s="411">
        <v>15</v>
      </c>
      <c r="AK15" s="179">
        <v>15</v>
      </c>
      <c r="AL15" s="412">
        <v>15</v>
      </c>
      <c r="AM15" s="411">
        <f>1.5*11</f>
        <v>16.5</v>
      </c>
      <c r="AN15" s="475">
        <f t="shared" si="1"/>
        <v>547.5</v>
      </c>
    </row>
    <row r="16" spans="2:63" ht="20.25" customHeight="1" x14ac:dyDescent="0.15">
      <c r="B16" s="723"/>
      <c r="C16" s="413" t="s">
        <v>379</v>
      </c>
      <c r="D16" s="179">
        <f>2.3*10</f>
        <v>23</v>
      </c>
      <c r="E16" s="412">
        <f>2.3*10</f>
        <v>23</v>
      </c>
      <c r="F16" s="411">
        <f>2.3*11</f>
        <v>25.299999999999997</v>
      </c>
      <c r="G16" s="179">
        <f>2.3*10</f>
        <v>23</v>
      </c>
      <c r="H16" s="412">
        <f>2.3*10</f>
        <v>23</v>
      </c>
      <c r="I16" s="411">
        <f>2.3*8</f>
        <v>18.399999999999999</v>
      </c>
      <c r="J16" s="179">
        <f>2.3*10</f>
        <v>23</v>
      </c>
      <c r="K16" s="412">
        <f>2.3*10</f>
        <v>23</v>
      </c>
      <c r="L16" s="411">
        <f>2.3*11</f>
        <v>25.299999999999997</v>
      </c>
      <c r="M16" s="179">
        <f>2.3*10</f>
        <v>23</v>
      </c>
      <c r="N16" s="412">
        <f>2.3*10</f>
        <v>23</v>
      </c>
      <c r="O16" s="411">
        <f>2.3*10</f>
        <v>23</v>
      </c>
      <c r="P16" s="179">
        <f>2.3*10</f>
        <v>23</v>
      </c>
      <c r="Q16" s="412">
        <f>2.3*10</f>
        <v>23</v>
      </c>
      <c r="R16" s="411">
        <f>2.3*11</f>
        <v>25.299999999999997</v>
      </c>
      <c r="S16" s="179">
        <f>2.3*10</f>
        <v>23</v>
      </c>
      <c r="T16" s="410">
        <f>2.3*10</f>
        <v>23</v>
      </c>
      <c r="U16" s="411">
        <f>2.3*10</f>
        <v>23</v>
      </c>
      <c r="V16" s="179">
        <f>2.3*10</f>
        <v>23</v>
      </c>
      <c r="W16" s="412">
        <f>2.3*10</f>
        <v>23</v>
      </c>
      <c r="X16" s="411">
        <f>2.3*11</f>
        <v>25.299999999999997</v>
      </c>
      <c r="Y16" s="179">
        <f>2.3*10</f>
        <v>23</v>
      </c>
      <c r="Z16" s="412">
        <f>2.3*10</f>
        <v>23</v>
      </c>
      <c r="AA16" s="411">
        <f>2.3*11</f>
        <v>25.299999999999997</v>
      </c>
      <c r="AB16" s="179">
        <f>2.3*10</f>
        <v>23</v>
      </c>
      <c r="AC16" s="412">
        <f>2.3*10</f>
        <v>23</v>
      </c>
      <c r="AD16" s="411">
        <f>2.3*10</f>
        <v>23</v>
      </c>
      <c r="AE16" s="179">
        <f>2.3*10</f>
        <v>23</v>
      </c>
      <c r="AF16" s="412">
        <f>2.3*10</f>
        <v>23</v>
      </c>
      <c r="AG16" s="411">
        <f>2.3*11</f>
        <v>25.299999999999997</v>
      </c>
      <c r="AH16" s="179">
        <f>2.3*10</f>
        <v>23</v>
      </c>
      <c r="AI16" s="412">
        <f>2.3*10</f>
        <v>23</v>
      </c>
      <c r="AJ16" s="411">
        <f>2.3*10</f>
        <v>23</v>
      </c>
      <c r="AK16" s="179">
        <f>2.3*10</f>
        <v>23</v>
      </c>
      <c r="AL16" s="412">
        <f>2.3*10</f>
        <v>23</v>
      </c>
      <c r="AM16" s="411">
        <f>2.3*11</f>
        <v>25.299999999999997</v>
      </c>
      <c r="AN16" s="475">
        <f t="shared" si="1"/>
        <v>839.49999999999989</v>
      </c>
    </row>
    <row r="17" spans="2:40" ht="20.25" customHeight="1" x14ac:dyDescent="0.15">
      <c r="B17" s="739" t="s">
        <v>310</v>
      </c>
      <c r="C17" s="327" t="s">
        <v>318</v>
      </c>
      <c r="D17" s="179"/>
      <c r="E17" s="40"/>
      <c r="F17" s="40"/>
      <c r="G17" s="179"/>
      <c r="H17" s="40"/>
      <c r="I17" s="40"/>
      <c r="J17" s="179"/>
      <c r="K17" s="40"/>
      <c r="L17" s="40"/>
      <c r="M17" s="179"/>
      <c r="N17" s="40"/>
      <c r="O17" s="40"/>
      <c r="P17" s="179"/>
      <c r="Q17" s="40"/>
      <c r="R17" s="40"/>
      <c r="S17" s="179"/>
      <c r="T17" s="40"/>
      <c r="U17" s="40"/>
      <c r="V17" s="179"/>
      <c r="W17" s="40"/>
      <c r="X17" s="40"/>
      <c r="Y17" s="179"/>
      <c r="Z17" s="40"/>
      <c r="AA17" s="40">
        <v>17.899999999999999</v>
      </c>
      <c r="AB17" s="179"/>
      <c r="AC17" s="40"/>
      <c r="AD17" s="40"/>
      <c r="AE17" s="179"/>
      <c r="AF17" s="40"/>
      <c r="AG17" s="40"/>
      <c r="AH17" s="179"/>
      <c r="AI17" s="40"/>
      <c r="AJ17" s="40"/>
      <c r="AK17" s="179"/>
      <c r="AL17" s="40"/>
      <c r="AM17" s="40"/>
      <c r="AN17" s="475">
        <f t="shared" si="1"/>
        <v>17.899999999999999</v>
      </c>
    </row>
    <row r="18" spans="2:40" ht="20.25" customHeight="1" x14ac:dyDescent="0.15">
      <c r="B18" s="740"/>
      <c r="C18" s="331" t="s">
        <v>319</v>
      </c>
      <c r="D18" s="179"/>
      <c r="E18" s="40"/>
      <c r="F18" s="40"/>
      <c r="G18" s="179"/>
      <c r="H18" s="40"/>
      <c r="I18" s="40"/>
      <c r="J18" s="179"/>
      <c r="K18" s="40"/>
      <c r="L18" s="40"/>
      <c r="M18" s="179"/>
      <c r="N18" s="40"/>
      <c r="O18" s="40"/>
      <c r="P18" s="179"/>
      <c r="Q18" s="40"/>
      <c r="R18" s="40"/>
      <c r="S18" s="179"/>
      <c r="T18" s="40"/>
      <c r="U18" s="40"/>
      <c r="V18" s="179"/>
      <c r="W18" s="40"/>
      <c r="X18" s="40"/>
      <c r="Y18" s="179"/>
      <c r="Z18" s="40"/>
      <c r="AA18" s="40"/>
      <c r="AB18" s="179">
        <v>14</v>
      </c>
      <c r="AC18" s="40"/>
      <c r="AD18" s="40"/>
      <c r="AE18" s="179"/>
      <c r="AF18" s="40"/>
      <c r="AG18" s="40"/>
      <c r="AH18" s="179"/>
      <c r="AI18" s="40"/>
      <c r="AJ18" s="40"/>
      <c r="AK18" s="179"/>
      <c r="AL18" s="40"/>
      <c r="AM18" s="40"/>
      <c r="AN18" s="475">
        <f t="shared" si="1"/>
        <v>14</v>
      </c>
    </row>
    <row r="19" spans="2:40" ht="20.25" customHeight="1" x14ac:dyDescent="0.15">
      <c r="B19" s="740"/>
      <c r="C19" s="327" t="s">
        <v>320</v>
      </c>
      <c r="D19" s="179"/>
      <c r="E19" s="40"/>
      <c r="F19" s="40"/>
      <c r="G19" s="179"/>
      <c r="H19" s="40"/>
      <c r="I19" s="40"/>
      <c r="J19" s="179"/>
      <c r="K19" s="40"/>
      <c r="L19" s="40"/>
      <c r="M19" s="179"/>
      <c r="N19" s="40"/>
      <c r="O19" s="40"/>
      <c r="P19" s="179"/>
      <c r="Q19" s="40"/>
      <c r="R19" s="40"/>
      <c r="S19" s="179"/>
      <c r="T19" s="40"/>
      <c r="U19" s="40"/>
      <c r="V19" s="179"/>
      <c r="W19" s="40"/>
      <c r="X19" s="40"/>
      <c r="Y19" s="179"/>
      <c r="Z19" s="40"/>
      <c r="AA19" s="40"/>
      <c r="AB19" s="179">
        <v>33.299999999999997</v>
      </c>
      <c r="AC19" s="40">
        <v>47.6</v>
      </c>
      <c r="AD19" s="40">
        <v>14.3</v>
      </c>
      <c r="AE19" s="179"/>
      <c r="AF19" s="40"/>
      <c r="AG19" s="40"/>
      <c r="AH19" s="179"/>
      <c r="AI19" s="40"/>
      <c r="AJ19" s="40"/>
      <c r="AK19" s="179"/>
      <c r="AL19" s="40"/>
      <c r="AM19" s="40"/>
      <c r="AN19" s="475">
        <f t="shared" si="1"/>
        <v>95.2</v>
      </c>
    </row>
    <row r="20" spans="2:40" ht="20.25" customHeight="1" x14ac:dyDescent="0.15">
      <c r="B20" s="740"/>
      <c r="C20" s="332" t="s">
        <v>321</v>
      </c>
      <c r="D20" s="179"/>
      <c r="E20" s="40"/>
      <c r="F20" s="40"/>
      <c r="G20" s="179"/>
      <c r="H20" s="40"/>
      <c r="I20" s="40"/>
      <c r="J20" s="179"/>
      <c r="K20" s="40"/>
      <c r="L20" s="40"/>
      <c r="M20" s="179"/>
      <c r="N20" s="40"/>
      <c r="O20" s="40"/>
      <c r="P20" s="179"/>
      <c r="Q20" s="40"/>
      <c r="R20" s="40"/>
      <c r="S20" s="179"/>
      <c r="T20" s="40"/>
      <c r="U20" s="40"/>
      <c r="V20" s="179"/>
      <c r="W20" s="40"/>
      <c r="X20" s="40"/>
      <c r="Y20" s="179"/>
      <c r="Z20" s="40"/>
      <c r="AA20" s="40"/>
      <c r="AB20" s="179"/>
      <c r="AC20" s="40"/>
      <c r="AD20" s="40">
        <v>28.6</v>
      </c>
      <c r="AE20" s="179"/>
      <c r="AF20" s="40"/>
      <c r="AG20" s="40"/>
      <c r="AH20" s="179"/>
      <c r="AI20" s="40"/>
      <c r="AJ20" s="40"/>
      <c r="AK20" s="179"/>
      <c r="AL20" s="40"/>
      <c r="AM20" s="40"/>
      <c r="AN20" s="475">
        <f t="shared" si="1"/>
        <v>28.6</v>
      </c>
    </row>
    <row r="21" spans="2:40" ht="20.25" customHeight="1" x14ac:dyDescent="0.15">
      <c r="B21" s="740"/>
      <c r="C21" s="327" t="s">
        <v>221</v>
      </c>
      <c r="D21" s="179"/>
      <c r="E21" s="40"/>
      <c r="F21" s="40"/>
      <c r="G21" s="179"/>
      <c r="H21" s="40"/>
      <c r="I21" s="40"/>
      <c r="J21" s="179">
        <v>12.2</v>
      </c>
      <c r="K21" s="40"/>
      <c r="L21" s="40"/>
      <c r="M21" s="179"/>
      <c r="N21" s="40"/>
      <c r="O21" s="40"/>
      <c r="P21" s="179"/>
      <c r="Q21" s="40">
        <v>4.8</v>
      </c>
      <c r="R21" s="40"/>
      <c r="S21" s="179"/>
      <c r="T21" s="40"/>
      <c r="U21" s="40"/>
      <c r="V21" s="179"/>
      <c r="W21" s="40"/>
      <c r="X21" s="40"/>
      <c r="Y21" s="179"/>
      <c r="Z21" s="40"/>
      <c r="AA21" s="40"/>
      <c r="AB21" s="179"/>
      <c r="AC21" s="40"/>
      <c r="AD21" s="40"/>
      <c r="AE21" s="179"/>
      <c r="AF21" s="40"/>
      <c r="AG21" s="40"/>
      <c r="AH21" s="179"/>
      <c r="AI21" s="40"/>
      <c r="AJ21" s="40"/>
      <c r="AK21" s="179"/>
      <c r="AL21" s="40"/>
      <c r="AM21" s="40"/>
      <c r="AN21" s="475">
        <f t="shared" si="1"/>
        <v>17</v>
      </c>
    </row>
    <row r="22" spans="2:40" ht="20.25" customHeight="1" x14ac:dyDescent="0.15">
      <c r="B22" s="741"/>
      <c r="C22" s="327" t="s">
        <v>309</v>
      </c>
      <c r="D22" s="179"/>
      <c r="E22" s="40"/>
      <c r="F22" s="40"/>
      <c r="G22" s="179"/>
      <c r="H22" s="40"/>
      <c r="I22" s="40"/>
      <c r="J22" s="179"/>
      <c r="K22" s="40"/>
      <c r="L22" s="40"/>
      <c r="M22" s="179"/>
      <c r="N22" s="40"/>
      <c r="O22" s="40"/>
      <c r="P22" s="179">
        <v>57.9</v>
      </c>
      <c r="Q22" s="40"/>
      <c r="R22" s="40"/>
      <c r="S22" s="179">
        <v>51.6</v>
      </c>
      <c r="T22" s="40"/>
      <c r="U22" s="40"/>
      <c r="V22" s="179"/>
      <c r="W22" s="40"/>
      <c r="X22" s="40"/>
      <c r="Y22" s="179"/>
      <c r="Z22" s="40"/>
      <c r="AA22" s="40"/>
      <c r="AB22" s="179"/>
      <c r="AC22" s="40"/>
      <c r="AD22" s="40"/>
      <c r="AE22" s="179"/>
      <c r="AF22" s="40"/>
      <c r="AG22" s="40"/>
      <c r="AH22" s="179"/>
      <c r="AI22" s="40"/>
      <c r="AJ22" s="40"/>
      <c r="AK22" s="179"/>
      <c r="AL22" s="40"/>
      <c r="AM22" s="40"/>
      <c r="AN22" s="475">
        <f t="shared" si="1"/>
        <v>109.5</v>
      </c>
    </row>
    <row r="23" spans="2:40" ht="20.25" customHeight="1" x14ac:dyDescent="0.15">
      <c r="B23" s="742" t="s">
        <v>311</v>
      </c>
      <c r="C23" s="331" t="s">
        <v>380</v>
      </c>
      <c r="D23" s="179"/>
      <c r="E23" s="40"/>
      <c r="F23" s="40"/>
      <c r="G23" s="179"/>
      <c r="H23" s="40"/>
      <c r="I23" s="40"/>
      <c r="J23" s="179"/>
      <c r="K23" s="40"/>
      <c r="L23" s="40"/>
      <c r="M23" s="179"/>
      <c r="N23" s="40"/>
      <c r="O23" s="40"/>
      <c r="P23" s="179"/>
      <c r="Q23" s="40"/>
      <c r="R23" s="40"/>
      <c r="S23" s="179"/>
      <c r="T23" s="40"/>
      <c r="U23" s="40"/>
      <c r="V23" s="179"/>
      <c r="W23" s="40"/>
      <c r="X23" s="40"/>
      <c r="Y23" s="179"/>
      <c r="Z23" s="40"/>
      <c r="AA23" s="40"/>
      <c r="AB23" s="179"/>
      <c r="AC23" s="40"/>
      <c r="AD23" s="40"/>
      <c r="AE23" s="179">
        <v>108.8</v>
      </c>
      <c r="AF23" s="40">
        <v>108.8</v>
      </c>
      <c r="AG23" s="40">
        <v>108.8</v>
      </c>
      <c r="AH23" s="179"/>
      <c r="AI23" s="40"/>
      <c r="AJ23" s="40"/>
      <c r="AK23" s="179"/>
      <c r="AL23" s="40"/>
      <c r="AM23" s="40"/>
      <c r="AN23" s="475">
        <f t="shared" si="1"/>
        <v>326.39999999999998</v>
      </c>
    </row>
    <row r="24" spans="2:40" ht="20.25" customHeight="1" x14ac:dyDescent="0.15">
      <c r="B24" s="743"/>
      <c r="C24" s="327" t="s">
        <v>381</v>
      </c>
      <c r="D24" s="179"/>
      <c r="E24" s="40"/>
      <c r="F24" s="40"/>
      <c r="G24" s="179"/>
      <c r="H24" s="40"/>
      <c r="I24" s="40"/>
      <c r="J24" s="179"/>
      <c r="K24" s="40"/>
      <c r="L24" s="40"/>
      <c r="M24" s="179"/>
      <c r="N24" s="40"/>
      <c r="O24" s="40"/>
      <c r="P24" s="179"/>
      <c r="Q24" s="40"/>
      <c r="R24" s="40"/>
      <c r="S24" s="179"/>
      <c r="T24" s="40"/>
      <c r="U24" s="40"/>
      <c r="V24" s="179"/>
      <c r="W24" s="40"/>
      <c r="X24" s="40"/>
      <c r="Y24" s="179"/>
      <c r="Z24" s="40"/>
      <c r="AA24" s="40"/>
      <c r="AB24" s="179"/>
      <c r="AC24" s="40"/>
      <c r="AD24" s="40"/>
      <c r="AE24" s="179"/>
      <c r="AF24" s="40"/>
      <c r="AG24" s="40"/>
      <c r="AH24" s="179">
        <v>60.9</v>
      </c>
      <c r="AI24" s="40">
        <v>60.9</v>
      </c>
      <c r="AJ24" s="40"/>
      <c r="AK24" s="179"/>
      <c r="AL24" s="40"/>
      <c r="AM24" s="40"/>
      <c r="AN24" s="475">
        <f t="shared" si="1"/>
        <v>121.8</v>
      </c>
    </row>
    <row r="25" spans="2:40" ht="20.25" customHeight="1" x14ac:dyDescent="0.15">
      <c r="B25" s="490"/>
      <c r="C25" s="327"/>
      <c r="D25" s="179"/>
      <c r="E25" s="40"/>
      <c r="F25" s="40"/>
      <c r="G25" s="179"/>
      <c r="H25" s="40"/>
      <c r="I25" s="40"/>
      <c r="J25" s="179"/>
      <c r="K25" s="40"/>
      <c r="L25" s="40"/>
      <c r="M25" s="179"/>
      <c r="N25" s="40"/>
      <c r="O25" s="40"/>
      <c r="P25" s="179"/>
      <c r="Q25" s="40"/>
      <c r="R25" s="40"/>
      <c r="S25" s="179"/>
      <c r="T25" s="40"/>
      <c r="U25" s="40"/>
      <c r="V25" s="179"/>
      <c r="W25" s="40"/>
      <c r="X25" s="40"/>
      <c r="Y25" s="179"/>
      <c r="Z25" s="40"/>
      <c r="AA25" s="40"/>
      <c r="AB25" s="179"/>
      <c r="AC25" s="40"/>
      <c r="AD25" s="40"/>
      <c r="AE25" s="179"/>
      <c r="AF25" s="40"/>
      <c r="AG25" s="40"/>
      <c r="AH25" s="179"/>
      <c r="AI25" s="40"/>
      <c r="AJ25" s="40"/>
      <c r="AK25" s="179"/>
      <c r="AL25" s="40"/>
      <c r="AM25" s="40"/>
      <c r="AN25" s="475">
        <f t="shared" si="1"/>
        <v>0</v>
      </c>
    </row>
    <row r="26" spans="2:40" ht="20.25" customHeight="1" x14ac:dyDescent="0.15">
      <c r="B26" s="491"/>
      <c r="C26" s="327"/>
      <c r="D26" s="179"/>
      <c r="E26" s="40"/>
      <c r="F26" s="40"/>
      <c r="G26" s="179"/>
      <c r="H26" s="40"/>
      <c r="I26" s="40"/>
      <c r="J26" s="179"/>
      <c r="K26" s="40"/>
      <c r="L26" s="40"/>
      <c r="M26" s="179"/>
      <c r="N26" s="40"/>
      <c r="O26" s="40"/>
      <c r="P26" s="179"/>
      <c r="Q26" s="40"/>
      <c r="R26" s="40"/>
      <c r="S26" s="179"/>
      <c r="T26" s="40"/>
      <c r="U26" s="40"/>
      <c r="V26" s="179"/>
      <c r="W26" s="40"/>
      <c r="X26" s="40"/>
      <c r="Y26" s="179"/>
      <c r="Z26" s="40"/>
      <c r="AA26" s="40"/>
      <c r="AB26" s="179"/>
      <c r="AC26" s="40"/>
      <c r="AD26" s="40"/>
      <c r="AE26" s="179"/>
      <c r="AF26" s="40"/>
      <c r="AG26" s="40"/>
      <c r="AH26" s="179"/>
      <c r="AI26" s="40"/>
      <c r="AJ26" s="40"/>
      <c r="AK26" s="179"/>
      <c r="AL26" s="40"/>
      <c r="AM26" s="40"/>
      <c r="AN26" s="475">
        <f t="shared" si="1"/>
        <v>0</v>
      </c>
    </row>
    <row r="27" spans="2:40" ht="20.25" customHeight="1" x14ac:dyDescent="0.15">
      <c r="B27" s="424"/>
      <c r="C27" s="327"/>
      <c r="D27" s="179"/>
      <c r="E27" s="40"/>
      <c r="F27" s="40"/>
      <c r="G27" s="179"/>
      <c r="H27" s="40"/>
      <c r="I27" s="40"/>
      <c r="J27" s="179"/>
      <c r="K27" s="40"/>
      <c r="L27" s="40"/>
      <c r="M27" s="179"/>
      <c r="N27" s="40"/>
      <c r="O27" s="40"/>
      <c r="P27" s="179"/>
      <c r="Q27" s="40"/>
      <c r="R27" s="40"/>
      <c r="S27" s="179"/>
      <c r="T27" s="40"/>
      <c r="U27" s="40"/>
      <c r="V27" s="179"/>
      <c r="W27" s="40"/>
      <c r="X27" s="40"/>
      <c r="Y27" s="179"/>
      <c r="Z27" s="40"/>
      <c r="AA27" s="40"/>
      <c r="AB27" s="179"/>
      <c r="AC27" s="40"/>
      <c r="AD27" s="40"/>
      <c r="AE27" s="179"/>
      <c r="AF27" s="40"/>
      <c r="AG27" s="40"/>
      <c r="AH27" s="179"/>
      <c r="AI27" s="40"/>
      <c r="AJ27" s="40"/>
      <c r="AK27" s="179"/>
      <c r="AL27" s="40"/>
      <c r="AM27" s="40"/>
      <c r="AN27" s="475">
        <f t="shared" si="1"/>
        <v>0</v>
      </c>
    </row>
    <row r="28" spans="2:40" ht="20.25" customHeight="1" x14ac:dyDescent="0.15">
      <c r="B28" s="424"/>
      <c r="C28" s="327"/>
      <c r="D28" s="179"/>
      <c r="E28" s="40"/>
      <c r="F28" s="40"/>
      <c r="G28" s="179"/>
      <c r="H28" s="40"/>
      <c r="I28" s="40"/>
      <c r="J28" s="179"/>
      <c r="K28" s="40"/>
      <c r="L28" s="40"/>
      <c r="M28" s="179"/>
      <c r="N28" s="40"/>
      <c r="O28" s="40"/>
      <c r="P28" s="179"/>
      <c r="Q28" s="40"/>
      <c r="R28" s="40"/>
      <c r="S28" s="179"/>
      <c r="T28" s="40"/>
      <c r="U28" s="40"/>
      <c r="V28" s="179"/>
      <c r="W28" s="40"/>
      <c r="X28" s="40"/>
      <c r="Y28" s="179"/>
      <c r="Z28" s="40"/>
      <c r="AA28" s="40"/>
      <c r="AB28" s="179"/>
      <c r="AC28" s="40"/>
      <c r="AD28" s="40"/>
      <c r="AE28" s="179"/>
      <c r="AF28" s="40"/>
      <c r="AG28" s="40"/>
      <c r="AH28" s="179"/>
      <c r="AI28" s="40"/>
      <c r="AJ28" s="40"/>
      <c r="AK28" s="179"/>
      <c r="AL28" s="40"/>
      <c r="AM28" s="40"/>
      <c r="AN28" s="475">
        <f t="shared" si="1"/>
        <v>0</v>
      </c>
    </row>
    <row r="29" spans="2:40" ht="20.25" customHeight="1" x14ac:dyDescent="0.15">
      <c r="B29" s="744"/>
      <c r="C29" s="745"/>
      <c r="D29" s="179"/>
      <c r="E29" s="40"/>
      <c r="F29" s="40"/>
      <c r="G29" s="179"/>
      <c r="H29" s="40"/>
      <c r="I29" s="40"/>
      <c r="J29" s="179"/>
      <c r="K29" s="40"/>
      <c r="L29" s="40"/>
      <c r="M29" s="179"/>
      <c r="N29" s="40"/>
      <c r="O29" s="40"/>
      <c r="P29" s="179"/>
      <c r="Q29" s="40"/>
      <c r="R29" s="40"/>
      <c r="S29" s="179"/>
      <c r="T29" s="40"/>
      <c r="U29" s="40"/>
      <c r="V29" s="179"/>
      <c r="W29" s="40"/>
      <c r="X29" s="40"/>
      <c r="Y29" s="179"/>
      <c r="Z29" s="40"/>
      <c r="AA29" s="40"/>
      <c r="AB29" s="179"/>
      <c r="AC29" s="40"/>
      <c r="AD29" s="40"/>
      <c r="AE29" s="179"/>
      <c r="AF29" s="40"/>
      <c r="AG29" s="40"/>
      <c r="AH29" s="179"/>
      <c r="AI29" s="40"/>
      <c r="AJ29" s="40"/>
      <c r="AK29" s="179"/>
      <c r="AL29" s="40"/>
      <c r="AM29" s="40"/>
      <c r="AN29" s="475">
        <f t="shared" si="1"/>
        <v>0</v>
      </c>
    </row>
    <row r="30" spans="2:40" ht="20.25" customHeight="1" x14ac:dyDescent="0.15">
      <c r="B30" s="746" t="s">
        <v>391</v>
      </c>
      <c r="C30" s="747"/>
      <c r="D30" s="179">
        <f t="shared" ref="D30:AM30" si="2">SUM(D11:D29)</f>
        <v>126.36600000000001</v>
      </c>
      <c r="E30" s="410">
        <f t="shared" si="2"/>
        <v>126.36600000000001</v>
      </c>
      <c r="F30" s="411">
        <f t="shared" si="2"/>
        <v>139.0026</v>
      </c>
      <c r="G30" s="179">
        <f t="shared" si="2"/>
        <v>126.36600000000001</v>
      </c>
      <c r="H30" s="410">
        <f t="shared" si="2"/>
        <v>126.36600000000001</v>
      </c>
      <c r="I30" s="411">
        <f t="shared" si="2"/>
        <v>101.09280000000001</v>
      </c>
      <c r="J30" s="179">
        <f t="shared" si="2"/>
        <v>138.566</v>
      </c>
      <c r="K30" s="410">
        <f t="shared" si="2"/>
        <v>120.583</v>
      </c>
      <c r="L30" s="411">
        <f t="shared" si="2"/>
        <v>132.6413</v>
      </c>
      <c r="M30" s="179">
        <f t="shared" si="2"/>
        <v>120.583</v>
      </c>
      <c r="N30" s="410">
        <f t="shared" si="2"/>
        <v>120.583</v>
      </c>
      <c r="O30" s="411">
        <f t="shared" si="2"/>
        <v>120.733</v>
      </c>
      <c r="P30" s="179">
        <f t="shared" si="2"/>
        <v>178.483</v>
      </c>
      <c r="Q30" s="410">
        <f t="shared" si="2"/>
        <v>125.383</v>
      </c>
      <c r="R30" s="411">
        <f t="shared" si="2"/>
        <v>132.6413</v>
      </c>
      <c r="S30" s="179">
        <f t="shared" si="2"/>
        <v>172.18299999999999</v>
      </c>
      <c r="T30" s="410">
        <f t="shared" si="2"/>
        <v>120.583</v>
      </c>
      <c r="U30" s="411">
        <f t="shared" si="2"/>
        <v>120.733</v>
      </c>
      <c r="V30" s="179">
        <f t="shared" si="2"/>
        <v>120.583</v>
      </c>
      <c r="W30" s="410">
        <f t="shared" si="2"/>
        <v>120.583</v>
      </c>
      <c r="X30" s="411">
        <f t="shared" si="2"/>
        <v>132.6413</v>
      </c>
      <c r="Y30" s="179">
        <f t="shared" si="2"/>
        <v>120.583</v>
      </c>
      <c r="Z30" s="410">
        <f t="shared" si="2"/>
        <v>120.583</v>
      </c>
      <c r="AA30" s="411">
        <f t="shared" si="2"/>
        <v>150.44129999999998</v>
      </c>
      <c r="AB30" s="179">
        <f t="shared" si="2"/>
        <v>167.88299999999998</v>
      </c>
      <c r="AC30" s="410">
        <f t="shared" si="2"/>
        <v>173.96600000000001</v>
      </c>
      <c r="AD30" s="411">
        <f t="shared" si="2"/>
        <v>169.566</v>
      </c>
      <c r="AE30" s="179">
        <f t="shared" si="2"/>
        <v>235.166</v>
      </c>
      <c r="AF30" s="410">
        <f t="shared" si="2"/>
        <v>235.166</v>
      </c>
      <c r="AG30" s="411">
        <f t="shared" si="2"/>
        <v>247.80259999999998</v>
      </c>
      <c r="AH30" s="179">
        <f t="shared" si="2"/>
        <v>187.26600000000002</v>
      </c>
      <c r="AI30" s="410">
        <f t="shared" si="2"/>
        <v>187.26600000000002</v>
      </c>
      <c r="AJ30" s="411">
        <f t="shared" si="2"/>
        <v>126.66600000000001</v>
      </c>
      <c r="AK30" s="179">
        <f t="shared" si="2"/>
        <v>126.36600000000001</v>
      </c>
      <c r="AL30" s="410">
        <f t="shared" si="2"/>
        <v>126.36600000000001</v>
      </c>
      <c r="AM30" s="411">
        <f t="shared" si="2"/>
        <v>139.0026</v>
      </c>
      <c r="AN30" s="475">
        <f t="shared" si="1"/>
        <v>5237.1517999999996</v>
      </c>
    </row>
    <row r="31" spans="2:40" ht="20.25" customHeight="1" thickBot="1" x14ac:dyDescent="0.2">
      <c r="B31" s="748" t="s">
        <v>392</v>
      </c>
      <c r="C31" s="749"/>
      <c r="D31" s="42"/>
      <c r="E31" s="43">
        <f>SUM(D30:F30)</f>
        <v>391.7346</v>
      </c>
      <c r="F31" s="43"/>
      <c r="G31" s="42"/>
      <c r="H31" s="43">
        <f>SUM(G30:I30)</f>
        <v>353.82480000000004</v>
      </c>
      <c r="I31" s="43"/>
      <c r="J31" s="42"/>
      <c r="K31" s="43">
        <f>SUM(J30:L30)</f>
        <v>391.7903</v>
      </c>
      <c r="L31" s="43"/>
      <c r="M31" s="42"/>
      <c r="N31" s="43">
        <f>SUM(M30:O30)</f>
        <v>361.899</v>
      </c>
      <c r="O31" s="43"/>
      <c r="P31" s="42"/>
      <c r="Q31" s="43">
        <f>SUM(P30:R30)</f>
        <v>436.50729999999999</v>
      </c>
      <c r="R31" s="43"/>
      <c r="S31" s="42"/>
      <c r="T31" s="43">
        <f>SUM(S30:U30)</f>
        <v>413.49899999999997</v>
      </c>
      <c r="U31" s="43"/>
      <c r="V31" s="42"/>
      <c r="W31" s="43">
        <f>SUM(V30:X30)</f>
        <v>373.8073</v>
      </c>
      <c r="X31" s="43"/>
      <c r="Y31" s="42"/>
      <c r="Z31" s="43">
        <f>SUM(Y30:AA30)</f>
        <v>391.60730000000001</v>
      </c>
      <c r="AA31" s="43"/>
      <c r="AB31" s="42"/>
      <c r="AC31" s="43">
        <f>SUM(AB30:AD30)</f>
        <v>511.41499999999996</v>
      </c>
      <c r="AD31" s="43"/>
      <c r="AE31" s="42"/>
      <c r="AF31" s="43">
        <f>SUM(AE30:AG30)</f>
        <v>718.13459999999998</v>
      </c>
      <c r="AG31" s="43"/>
      <c r="AH31" s="42"/>
      <c r="AI31" s="43">
        <f>SUM(AH30:AJ30)</f>
        <v>501.19800000000004</v>
      </c>
      <c r="AJ31" s="43"/>
      <c r="AK31" s="42"/>
      <c r="AL31" s="43">
        <f>SUM(AK30:AM30)</f>
        <v>391.7346</v>
      </c>
      <c r="AM31" s="43"/>
      <c r="AN31" s="476">
        <f>SUM(AN11:AN29)</f>
        <v>5237.1517999999987</v>
      </c>
    </row>
    <row r="32" spans="2:40" ht="9.9499999999999993" customHeight="1" x14ac:dyDescent="0.15"/>
    <row r="33" spans="2:40" ht="24.95" customHeight="1" x14ac:dyDescent="0.15">
      <c r="B33" s="2" t="s">
        <v>135</v>
      </c>
    </row>
    <row r="34" spans="2:40" ht="9.9499999999999993" customHeight="1" x14ac:dyDescent="0.15"/>
    <row r="35" spans="2:40" ht="20.25" customHeight="1" x14ac:dyDescent="0.15">
      <c r="B35" s="1"/>
      <c r="C35" s="5"/>
      <c r="D35" s="1"/>
    </row>
    <row r="36" spans="2:40" ht="9.9499999999999993" customHeight="1" thickBot="1" x14ac:dyDescent="0.2"/>
    <row r="37" spans="2:40" ht="20.25" customHeight="1" x14ac:dyDescent="0.15">
      <c r="B37" s="727" t="s">
        <v>393</v>
      </c>
      <c r="C37" s="728"/>
      <c r="D37" s="724">
        <v>1</v>
      </c>
      <c r="E37" s="725"/>
      <c r="F37" s="726"/>
      <c r="G37" s="724">
        <v>2</v>
      </c>
      <c r="H37" s="725"/>
      <c r="I37" s="726"/>
      <c r="J37" s="724">
        <v>3</v>
      </c>
      <c r="K37" s="725"/>
      <c r="L37" s="726"/>
      <c r="M37" s="724">
        <v>4</v>
      </c>
      <c r="N37" s="725"/>
      <c r="O37" s="726"/>
      <c r="P37" s="724">
        <v>5</v>
      </c>
      <c r="Q37" s="725"/>
      <c r="R37" s="726"/>
      <c r="S37" s="724">
        <v>6</v>
      </c>
      <c r="T37" s="725"/>
      <c r="U37" s="726"/>
      <c r="V37" s="724">
        <v>7</v>
      </c>
      <c r="W37" s="725"/>
      <c r="X37" s="726"/>
      <c r="Y37" s="724">
        <v>8</v>
      </c>
      <c r="Z37" s="725"/>
      <c r="AA37" s="726"/>
      <c r="AB37" s="724">
        <v>9</v>
      </c>
      <c r="AC37" s="725"/>
      <c r="AD37" s="726"/>
      <c r="AE37" s="724">
        <v>10</v>
      </c>
      <c r="AF37" s="725"/>
      <c r="AG37" s="726"/>
      <c r="AH37" s="724">
        <v>11</v>
      </c>
      <c r="AI37" s="725"/>
      <c r="AJ37" s="726"/>
      <c r="AK37" s="724">
        <v>12</v>
      </c>
      <c r="AL37" s="725"/>
      <c r="AM37" s="726"/>
      <c r="AN37" s="731" t="s">
        <v>23</v>
      </c>
    </row>
    <row r="38" spans="2:40" ht="20.25" customHeight="1" x14ac:dyDescent="0.15">
      <c r="B38" s="729"/>
      <c r="C38" s="730"/>
      <c r="D38" s="403" t="s">
        <v>24</v>
      </c>
      <c r="E38" s="404" t="s">
        <v>25</v>
      </c>
      <c r="F38" s="38" t="s">
        <v>26</v>
      </c>
      <c r="G38" s="403" t="s">
        <v>24</v>
      </c>
      <c r="H38" s="38" t="s">
        <v>25</v>
      </c>
      <c r="I38" s="38" t="s">
        <v>26</v>
      </c>
      <c r="J38" s="403" t="s">
        <v>24</v>
      </c>
      <c r="K38" s="38" t="s">
        <v>25</v>
      </c>
      <c r="L38" s="38" t="s">
        <v>26</v>
      </c>
      <c r="M38" s="403" t="s">
        <v>24</v>
      </c>
      <c r="N38" s="38" t="s">
        <v>25</v>
      </c>
      <c r="O38" s="38" t="s">
        <v>26</v>
      </c>
      <c r="P38" s="403" t="s">
        <v>24</v>
      </c>
      <c r="Q38" s="38" t="s">
        <v>25</v>
      </c>
      <c r="R38" s="38" t="s">
        <v>26</v>
      </c>
      <c r="S38" s="403" t="s">
        <v>24</v>
      </c>
      <c r="T38" s="405" t="s">
        <v>25</v>
      </c>
      <c r="U38" s="405" t="s">
        <v>26</v>
      </c>
      <c r="V38" s="403" t="s">
        <v>24</v>
      </c>
      <c r="W38" s="38" t="s">
        <v>25</v>
      </c>
      <c r="X38" s="38" t="s">
        <v>26</v>
      </c>
      <c r="Y38" s="403" t="s">
        <v>24</v>
      </c>
      <c r="Z38" s="38" t="s">
        <v>25</v>
      </c>
      <c r="AA38" s="38" t="s">
        <v>26</v>
      </c>
      <c r="AB38" s="403" t="s">
        <v>24</v>
      </c>
      <c r="AC38" s="38" t="s">
        <v>25</v>
      </c>
      <c r="AD38" s="38" t="s">
        <v>26</v>
      </c>
      <c r="AE38" s="403" t="s">
        <v>24</v>
      </c>
      <c r="AF38" s="38" t="s">
        <v>25</v>
      </c>
      <c r="AG38" s="38" t="s">
        <v>26</v>
      </c>
      <c r="AH38" s="403" t="s">
        <v>24</v>
      </c>
      <c r="AI38" s="38" t="s">
        <v>25</v>
      </c>
      <c r="AJ38" s="38" t="s">
        <v>26</v>
      </c>
      <c r="AK38" s="403" t="s">
        <v>24</v>
      </c>
      <c r="AL38" s="38" t="s">
        <v>25</v>
      </c>
      <c r="AM38" s="38" t="s">
        <v>26</v>
      </c>
      <c r="AN38" s="732"/>
    </row>
    <row r="39" spans="2:40" ht="20.25" customHeight="1" x14ac:dyDescent="0.15">
      <c r="B39" s="752" t="s">
        <v>394</v>
      </c>
      <c r="C39" s="730"/>
      <c r="D39" s="179">
        <f>D30</f>
        <v>126.36600000000001</v>
      </c>
      <c r="E39" s="410">
        <f t="shared" ref="E39:AM39" si="3">E30</f>
        <v>126.36600000000001</v>
      </c>
      <c r="F39" s="411">
        <f t="shared" si="3"/>
        <v>139.0026</v>
      </c>
      <c r="G39" s="179">
        <f t="shared" si="3"/>
        <v>126.36600000000001</v>
      </c>
      <c r="H39" s="410">
        <f t="shared" si="3"/>
        <v>126.36600000000001</v>
      </c>
      <c r="I39" s="411">
        <f t="shared" si="3"/>
        <v>101.09280000000001</v>
      </c>
      <c r="J39" s="179">
        <f t="shared" si="3"/>
        <v>138.566</v>
      </c>
      <c r="K39" s="410">
        <f t="shared" si="3"/>
        <v>120.583</v>
      </c>
      <c r="L39" s="411">
        <f t="shared" si="3"/>
        <v>132.6413</v>
      </c>
      <c r="M39" s="179">
        <f t="shared" si="3"/>
        <v>120.583</v>
      </c>
      <c r="N39" s="410">
        <f t="shared" si="3"/>
        <v>120.583</v>
      </c>
      <c r="O39" s="411">
        <f t="shared" si="3"/>
        <v>120.733</v>
      </c>
      <c r="P39" s="179">
        <f t="shared" si="3"/>
        <v>178.483</v>
      </c>
      <c r="Q39" s="410">
        <f t="shared" si="3"/>
        <v>125.383</v>
      </c>
      <c r="R39" s="411">
        <f t="shared" si="3"/>
        <v>132.6413</v>
      </c>
      <c r="S39" s="179">
        <f t="shared" si="3"/>
        <v>172.18299999999999</v>
      </c>
      <c r="T39" s="410">
        <f t="shared" si="3"/>
        <v>120.583</v>
      </c>
      <c r="U39" s="411">
        <f t="shared" si="3"/>
        <v>120.733</v>
      </c>
      <c r="V39" s="179">
        <f t="shared" si="3"/>
        <v>120.583</v>
      </c>
      <c r="W39" s="410">
        <f t="shared" si="3"/>
        <v>120.583</v>
      </c>
      <c r="X39" s="411">
        <f t="shared" si="3"/>
        <v>132.6413</v>
      </c>
      <c r="Y39" s="179">
        <f t="shared" si="3"/>
        <v>120.583</v>
      </c>
      <c r="Z39" s="410">
        <f t="shared" si="3"/>
        <v>120.583</v>
      </c>
      <c r="AA39" s="411">
        <f t="shared" si="3"/>
        <v>150.44129999999998</v>
      </c>
      <c r="AB39" s="179">
        <f t="shared" si="3"/>
        <v>167.88299999999998</v>
      </c>
      <c r="AC39" s="410">
        <f t="shared" si="3"/>
        <v>173.96600000000001</v>
      </c>
      <c r="AD39" s="411">
        <f t="shared" si="3"/>
        <v>169.566</v>
      </c>
      <c r="AE39" s="179">
        <f t="shared" si="3"/>
        <v>235.166</v>
      </c>
      <c r="AF39" s="410">
        <f t="shared" si="3"/>
        <v>235.166</v>
      </c>
      <c r="AG39" s="411">
        <f t="shared" si="3"/>
        <v>247.80259999999998</v>
      </c>
      <c r="AH39" s="179">
        <f t="shared" si="3"/>
        <v>187.26600000000002</v>
      </c>
      <c r="AI39" s="410">
        <f t="shared" si="3"/>
        <v>187.26600000000002</v>
      </c>
      <c r="AJ39" s="411">
        <f t="shared" si="3"/>
        <v>126.66600000000001</v>
      </c>
      <c r="AK39" s="179">
        <f t="shared" si="3"/>
        <v>126.36600000000001</v>
      </c>
      <c r="AL39" s="410">
        <f t="shared" si="3"/>
        <v>126.36600000000001</v>
      </c>
      <c r="AM39" s="411">
        <f t="shared" si="3"/>
        <v>139.0026</v>
      </c>
      <c r="AN39" s="41">
        <f t="shared" ref="AN39:AN47" si="4">SUM(D39:AM39)</f>
        <v>5237.1517999999996</v>
      </c>
    </row>
    <row r="40" spans="2:40" ht="20.25" customHeight="1" thickBot="1" x14ac:dyDescent="0.2">
      <c r="B40" s="753" t="s">
        <v>392</v>
      </c>
      <c r="C40" s="754"/>
      <c r="D40" s="414"/>
      <c r="E40" s="173">
        <f>SUM(D39:F39)</f>
        <v>391.7346</v>
      </c>
      <c r="F40" s="173"/>
      <c r="G40" s="414"/>
      <c r="H40" s="173">
        <f>SUM(G39:I39)</f>
        <v>353.82480000000004</v>
      </c>
      <c r="I40" s="173"/>
      <c r="J40" s="414"/>
      <c r="K40" s="173">
        <f>SUM(J39:L39)</f>
        <v>391.7903</v>
      </c>
      <c r="L40" s="173"/>
      <c r="M40" s="414"/>
      <c r="N40" s="173">
        <f>SUM(M39:O39)</f>
        <v>361.899</v>
      </c>
      <c r="O40" s="173"/>
      <c r="P40" s="414"/>
      <c r="Q40" s="173">
        <f>SUM(P39:R39)</f>
        <v>436.50729999999999</v>
      </c>
      <c r="R40" s="173"/>
      <c r="S40" s="414"/>
      <c r="T40" s="173">
        <f>SUM(S39:U39)</f>
        <v>413.49899999999997</v>
      </c>
      <c r="U40" s="173"/>
      <c r="V40" s="414"/>
      <c r="W40" s="173">
        <f>SUM(V39:X39)</f>
        <v>373.8073</v>
      </c>
      <c r="X40" s="173"/>
      <c r="Y40" s="414"/>
      <c r="Z40" s="173">
        <f>SUM(Y39:AA39)</f>
        <v>391.60730000000001</v>
      </c>
      <c r="AA40" s="173"/>
      <c r="AB40" s="414"/>
      <c r="AC40" s="173">
        <f>SUM(AB39:AD39)</f>
        <v>511.41499999999996</v>
      </c>
      <c r="AD40" s="173"/>
      <c r="AE40" s="414"/>
      <c r="AF40" s="173">
        <f>SUM(AE39:AG39)</f>
        <v>718.13459999999998</v>
      </c>
      <c r="AG40" s="173"/>
      <c r="AH40" s="414"/>
      <c r="AI40" s="173">
        <f>SUM(AH39:AJ39)</f>
        <v>501.19800000000004</v>
      </c>
      <c r="AJ40" s="173"/>
      <c r="AK40" s="414"/>
      <c r="AL40" s="173">
        <f>SUM(AK39:AM39)</f>
        <v>391.7346</v>
      </c>
      <c r="AM40" s="173"/>
      <c r="AN40" s="174">
        <f t="shared" si="4"/>
        <v>5237.1518000000005</v>
      </c>
    </row>
    <row r="41" spans="2:40" ht="20.25" customHeight="1" thickTop="1" x14ac:dyDescent="0.15">
      <c r="B41" s="755" t="s">
        <v>136</v>
      </c>
      <c r="C41" s="175" t="s">
        <v>395</v>
      </c>
      <c r="D41" s="176">
        <v>51</v>
      </c>
      <c r="E41" s="177">
        <v>51</v>
      </c>
      <c r="F41" s="177">
        <v>56</v>
      </c>
      <c r="G41" s="176">
        <v>51</v>
      </c>
      <c r="H41" s="177">
        <v>51</v>
      </c>
      <c r="I41" s="177">
        <v>41</v>
      </c>
      <c r="J41" s="176">
        <v>56</v>
      </c>
      <c r="K41" s="177">
        <v>50</v>
      </c>
      <c r="L41" s="177">
        <v>55</v>
      </c>
      <c r="M41" s="176">
        <v>50</v>
      </c>
      <c r="N41" s="177">
        <v>50</v>
      </c>
      <c r="O41" s="177">
        <v>50</v>
      </c>
      <c r="P41" s="176">
        <v>60</v>
      </c>
      <c r="Q41" s="177">
        <v>51</v>
      </c>
      <c r="R41" s="177">
        <f>5*11</f>
        <v>55</v>
      </c>
      <c r="S41" s="176">
        <v>62</v>
      </c>
      <c r="T41" s="177">
        <v>50</v>
      </c>
      <c r="U41" s="177">
        <v>50</v>
      </c>
      <c r="V41" s="176">
        <v>48</v>
      </c>
      <c r="W41" s="177">
        <v>48</v>
      </c>
      <c r="X41" s="177">
        <v>53</v>
      </c>
      <c r="Y41" s="176">
        <v>50</v>
      </c>
      <c r="Z41" s="177">
        <v>50</v>
      </c>
      <c r="AA41" s="177">
        <v>65</v>
      </c>
      <c r="AB41" s="176">
        <v>70</v>
      </c>
      <c r="AC41" s="177">
        <v>70</v>
      </c>
      <c r="AD41" s="177">
        <v>67</v>
      </c>
      <c r="AE41" s="176">
        <v>66</v>
      </c>
      <c r="AF41" s="177">
        <v>66</v>
      </c>
      <c r="AG41" s="177">
        <v>70</v>
      </c>
      <c r="AH41" s="176">
        <v>65</v>
      </c>
      <c r="AI41" s="177">
        <v>65</v>
      </c>
      <c r="AJ41" s="177">
        <v>51</v>
      </c>
      <c r="AK41" s="176">
        <v>51</v>
      </c>
      <c r="AL41" s="177">
        <v>50</v>
      </c>
      <c r="AM41" s="177">
        <f>5*11</f>
        <v>55</v>
      </c>
      <c r="AN41" s="178">
        <f t="shared" si="4"/>
        <v>2000</v>
      </c>
    </row>
    <row r="42" spans="2:40" ht="20.25" customHeight="1" x14ac:dyDescent="0.15">
      <c r="B42" s="756"/>
      <c r="C42" s="415" t="s">
        <v>396</v>
      </c>
      <c r="D42" s="179">
        <v>51</v>
      </c>
      <c r="E42" s="40">
        <v>51</v>
      </c>
      <c r="F42" s="40">
        <v>56</v>
      </c>
      <c r="G42" s="179">
        <v>51</v>
      </c>
      <c r="H42" s="40">
        <v>51</v>
      </c>
      <c r="I42" s="40">
        <v>41</v>
      </c>
      <c r="J42" s="179">
        <v>56</v>
      </c>
      <c r="K42" s="40">
        <v>50</v>
      </c>
      <c r="L42" s="40">
        <v>55</v>
      </c>
      <c r="M42" s="179">
        <v>50</v>
      </c>
      <c r="N42" s="40">
        <v>50</v>
      </c>
      <c r="O42" s="40">
        <v>50</v>
      </c>
      <c r="P42" s="179">
        <v>60</v>
      </c>
      <c r="Q42" s="40">
        <v>50</v>
      </c>
      <c r="R42" s="40">
        <v>54</v>
      </c>
      <c r="S42" s="179">
        <v>61</v>
      </c>
      <c r="T42" s="40">
        <v>50</v>
      </c>
      <c r="U42" s="40">
        <v>50</v>
      </c>
      <c r="V42" s="179">
        <v>48</v>
      </c>
      <c r="W42" s="40">
        <v>48</v>
      </c>
      <c r="X42" s="40">
        <v>53</v>
      </c>
      <c r="Y42" s="179">
        <v>50</v>
      </c>
      <c r="Z42" s="40">
        <v>50</v>
      </c>
      <c r="AA42" s="40">
        <v>56</v>
      </c>
      <c r="AB42" s="179">
        <v>70</v>
      </c>
      <c r="AC42" s="40">
        <v>70</v>
      </c>
      <c r="AD42" s="40">
        <v>67</v>
      </c>
      <c r="AE42" s="179">
        <v>68</v>
      </c>
      <c r="AF42" s="40">
        <v>69</v>
      </c>
      <c r="AG42" s="40">
        <v>69</v>
      </c>
      <c r="AH42" s="179">
        <v>69</v>
      </c>
      <c r="AI42" s="40">
        <v>69</v>
      </c>
      <c r="AJ42" s="40">
        <v>51</v>
      </c>
      <c r="AK42" s="179">
        <v>51</v>
      </c>
      <c r="AL42" s="40">
        <v>50</v>
      </c>
      <c r="AM42" s="40">
        <f>5*11</f>
        <v>55</v>
      </c>
      <c r="AN42" s="41">
        <f t="shared" si="4"/>
        <v>2000</v>
      </c>
    </row>
    <row r="43" spans="2:40" ht="20.25" customHeight="1" x14ac:dyDescent="0.15">
      <c r="B43" s="756"/>
      <c r="C43" s="415" t="s">
        <v>397</v>
      </c>
      <c r="D43" s="179">
        <f t="shared" ref="D43:AD43" si="5">D39-D41-D42</f>
        <v>24.366000000000014</v>
      </c>
      <c r="E43" s="40">
        <f t="shared" si="5"/>
        <v>24.366000000000014</v>
      </c>
      <c r="F43" s="40">
        <f t="shared" si="5"/>
        <v>27.002600000000001</v>
      </c>
      <c r="G43" s="179">
        <f t="shared" si="5"/>
        <v>24.366000000000014</v>
      </c>
      <c r="H43" s="40">
        <f t="shared" si="5"/>
        <v>24.366000000000014</v>
      </c>
      <c r="I43" s="40">
        <f t="shared" si="5"/>
        <v>19.092800000000011</v>
      </c>
      <c r="J43" s="179">
        <f t="shared" si="5"/>
        <v>26.566000000000003</v>
      </c>
      <c r="K43" s="40">
        <f t="shared" si="5"/>
        <v>20.582999999999998</v>
      </c>
      <c r="L43" s="40">
        <f t="shared" si="5"/>
        <v>22.641300000000001</v>
      </c>
      <c r="M43" s="179">
        <f t="shared" si="5"/>
        <v>20.582999999999998</v>
      </c>
      <c r="N43" s="40">
        <f t="shared" si="5"/>
        <v>20.582999999999998</v>
      </c>
      <c r="O43" s="40">
        <f t="shared" si="5"/>
        <v>20.733000000000004</v>
      </c>
      <c r="P43" s="179">
        <f t="shared" si="5"/>
        <v>58.483000000000004</v>
      </c>
      <c r="Q43" s="40">
        <f t="shared" si="5"/>
        <v>24.382999999999996</v>
      </c>
      <c r="R43" s="40">
        <f t="shared" si="5"/>
        <v>23.641300000000001</v>
      </c>
      <c r="S43" s="179">
        <f t="shared" si="5"/>
        <v>49.182999999999993</v>
      </c>
      <c r="T43" s="40">
        <f t="shared" si="5"/>
        <v>20.582999999999998</v>
      </c>
      <c r="U43" s="40">
        <f t="shared" si="5"/>
        <v>20.733000000000004</v>
      </c>
      <c r="V43" s="179">
        <f t="shared" si="5"/>
        <v>24.582999999999998</v>
      </c>
      <c r="W43" s="40">
        <f t="shared" si="5"/>
        <v>24.582999999999998</v>
      </c>
      <c r="X43" s="40">
        <f t="shared" si="5"/>
        <v>26.641300000000001</v>
      </c>
      <c r="Y43" s="179">
        <f t="shared" si="5"/>
        <v>20.582999999999998</v>
      </c>
      <c r="Z43" s="40">
        <f t="shared" si="5"/>
        <v>20.582999999999998</v>
      </c>
      <c r="AA43" s="40">
        <f t="shared" si="5"/>
        <v>29.441299999999984</v>
      </c>
      <c r="AB43" s="179">
        <f t="shared" si="5"/>
        <v>27.882999999999981</v>
      </c>
      <c r="AC43" s="40">
        <f t="shared" si="5"/>
        <v>33.966000000000008</v>
      </c>
      <c r="AD43" s="40">
        <f t="shared" si="5"/>
        <v>35.566000000000003</v>
      </c>
      <c r="AE43" s="179">
        <v>39.5</v>
      </c>
      <c r="AF43" s="40">
        <v>40</v>
      </c>
      <c r="AG43" s="40">
        <v>40</v>
      </c>
      <c r="AH43" s="179">
        <v>30</v>
      </c>
      <c r="AI43" s="40">
        <v>30</v>
      </c>
      <c r="AJ43" s="40">
        <f t="shared" ref="AJ43:AL43" si="6">AJ39-AJ41-AJ42</f>
        <v>24.666000000000011</v>
      </c>
      <c r="AK43" s="179">
        <f t="shared" si="6"/>
        <v>24.366000000000014</v>
      </c>
      <c r="AL43" s="40">
        <f t="shared" si="6"/>
        <v>26.366000000000014</v>
      </c>
      <c r="AM43" s="40">
        <f>AM39-AM41-AM42</f>
        <v>29.002600000000001</v>
      </c>
      <c r="AN43" s="41">
        <f t="shared" si="4"/>
        <v>999.98520000000008</v>
      </c>
    </row>
    <row r="44" spans="2:40" ht="20.25" customHeight="1" x14ac:dyDescent="0.15">
      <c r="B44" s="756"/>
      <c r="C44" s="416"/>
      <c r="D44" s="179"/>
      <c r="E44" s="40"/>
      <c r="F44" s="40"/>
      <c r="G44" s="179"/>
      <c r="H44" s="40"/>
      <c r="I44" s="40"/>
      <c r="J44" s="179"/>
      <c r="K44" s="40"/>
      <c r="L44" s="40"/>
      <c r="M44" s="179"/>
      <c r="N44" s="40"/>
      <c r="O44" s="40"/>
      <c r="P44" s="179"/>
      <c r="Q44" s="40"/>
      <c r="R44" s="40"/>
      <c r="S44" s="179"/>
      <c r="T44" s="40"/>
      <c r="U44" s="40"/>
      <c r="V44" s="179"/>
      <c r="W44" s="40"/>
      <c r="X44" s="40"/>
      <c r="Y44" s="179"/>
      <c r="Z44" s="40"/>
      <c r="AA44" s="40"/>
      <c r="AB44" s="179"/>
      <c r="AC44" s="40"/>
      <c r="AD44" s="40"/>
      <c r="AE44" s="179"/>
      <c r="AF44" s="40"/>
      <c r="AG44" s="40"/>
      <c r="AH44" s="179"/>
      <c r="AI44" s="40"/>
      <c r="AJ44" s="40"/>
      <c r="AK44" s="179"/>
      <c r="AL44" s="40"/>
      <c r="AM44" s="40"/>
      <c r="AN44" s="41">
        <f t="shared" si="4"/>
        <v>0</v>
      </c>
    </row>
    <row r="45" spans="2:40" ht="20.25" customHeight="1" thickBot="1" x14ac:dyDescent="0.2">
      <c r="B45" s="757"/>
      <c r="C45" s="417" t="s">
        <v>137</v>
      </c>
      <c r="D45" s="180">
        <f>SUM(D41:D44)</f>
        <v>126.36600000000001</v>
      </c>
      <c r="E45" s="181">
        <f t="shared" ref="E45:AM45" si="7">SUM(E41:E44)</f>
        <v>126.36600000000001</v>
      </c>
      <c r="F45" s="181">
        <f t="shared" si="7"/>
        <v>139.0026</v>
      </c>
      <c r="G45" s="180">
        <f t="shared" si="7"/>
        <v>126.36600000000001</v>
      </c>
      <c r="H45" s="181">
        <f t="shared" si="7"/>
        <v>126.36600000000001</v>
      </c>
      <c r="I45" s="181">
        <f t="shared" si="7"/>
        <v>101.09280000000001</v>
      </c>
      <c r="J45" s="180">
        <f t="shared" si="7"/>
        <v>138.566</v>
      </c>
      <c r="K45" s="181">
        <f t="shared" si="7"/>
        <v>120.583</v>
      </c>
      <c r="L45" s="181">
        <f t="shared" si="7"/>
        <v>132.6413</v>
      </c>
      <c r="M45" s="180">
        <f t="shared" si="7"/>
        <v>120.583</v>
      </c>
      <c r="N45" s="181">
        <f t="shared" si="7"/>
        <v>120.583</v>
      </c>
      <c r="O45" s="181">
        <f t="shared" si="7"/>
        <v>120.733</v>
      </c>
      <c r="P45" s="180">
        <f t="shared" si="7"/>
        <v>178.483</v>
      </c>
      <c r="Q45" s="181">
        <f t="shared" si="7"/>
        <v>125.383</v>
      </c>
      <c r="R45" s="181">
        <f t="shared" si="7"/>
        <v>132.6413</v>
      </c>
      <c r="S45" s="180">
        <f t="shared" si="7"/>
        <v>172.18299999999999</v>
      </c>
      <c r="T45" s="181">
        <f t="shared" si="7"/>
        <v>120.583</v>
      </c>
      <c r="U45" s="181">
        <f t="shared" si="7"/>
        <v>120.733</v>
      </c>
      <c r="V45" s="180">
        <f t="shared" si="7"/>
        <v>120.583</v>
      </c>
      <c r="W45" s="181">
        <f t="shared" si="7"/>
        <v>120.583</v>
      </c>
      <c r="X45" s="181">
        <f t="shared" si="7"/>
        <v>132.6413</v>
      </c>
      <c r="Y45" s="180">
        <f t="shared" si="7"/>
        <v>120.583</v>
      </c>
      <c r="Z45" s="181">
        <f t="shared" si="7"/>
        <v>120.583</v>
      </c>
      <c r="AA45" s="181">
        <f t="shared" si="7"/>
        <v>150.44129999999998</v>
      </c>
      <c r="AB45" s="180">
        <f t="shared" si="7"/>
        <v>167.88299999999998</v>
      </c>
      <c r="AC45" s="181">
        <f t="shared" si="7"/>
        <v>173.96600000000001</v>
      </c>
      <c r="AD45" s="181">
        <f t="shared" si="7"/>
        <v>169.566</v>
      </c>
      <c r="AE45" s="180">
        <f t="shared" si="7"/>
        <v>173.5</v>
      </c>
      <c r="AF45" s="181">
        <f t="shared" si="7"/>
        <v>175</v>
      </c>
      <c r="AG45" s="181">
        <f t="shared" si="7"/>
        <v>179</v>
      </c>
      <c r="AH45" s="180">
        <f t="shared" si="7"/>
        <v>164</v>
      </c>
      <c r="AI45" s="181">
        <f t="shared" si="7"/>
        <v>164</v>
      </c>
      <c r="AJ45" s="181">
        <f t="shared" si="7"/>
        <v>126.66600000000001</v>
      </c>
      <c r="AK45" s="180">
        <f t="shared" si="7"/>
        <v>126.36600000000001</v>
      </c>
      <c r="AL45" s="181">
        <f t="shared" si="7"/>
        <v>126.36600000000001</v>
      </c>
      <c r="AM45" s="181">
        <f t="shared" si="7"/>
        <v>139.0026</v>
      </c>
      <c r="AN45" s="182">
        <f t="shared" si="4"/>
        <v>4999.9852000000001</v>
      </c>
    </row>
    <row r="46" spans="2:40" ht="20.25" customHeight="1" thickTop="1" x14ac:dyDescent="0.15">
      <c r="B46" s="758" t="s">
        <v>398</v>
      </c>
      <c r="C46" s="759"/>
      <c r="D46" s="183">
        <f>D45-D39</f>
        <v>0</v>
      </c>
      <c r="E46" s="184">
        <f t="shared" ref="E46:AM46" si="8">E45-E39</f>
        <v>0</v>
      </c>
      <c r="F46" s="184">
        <f t="shared" si="8"/>
        <v>0</v>
      </c>
      <c r="G46" s="183">
        <f t="shared" si="8"/>
        <v>0</v>
      </c>
      <c r="H46" s="184">
        <f t="shared" si="8"/>
        <v>0</v>
      </c>
      <c r="I46" s="184">
        <f t="shared" si="8"/>
        <v>0</v>
      </c>
      <c r="J46" s="183">
        <f t="shared" si="8"/>
        <v>0</v>
      </c>
      <c r="K46" s="184">
        <f t="shared" si="8"/>
        <v>0</v>
      </c>
      <c r="L46" s="184">
        <f t="shared" si="8"/>
        <v>0</v>
      </c>
      <c r="M46" s="183">
        <f t="shared" si="8"/>
        <v>0</v>
      </c>
      <c r="N46" s="184">
        <f t="shared" si="8"/>
        <v>0</v>
      </c>
      <c r="O46" s="184">
        <f t="shared" si="8"/>
        <v>0</v>
      </c>
      <c r="P46" s="183">
        <f t="shared" si="8"/>
        <v>0</v>
      </c>
      <c r="Q46" s="184">
        <f t="shared" si="8"/>
        <v>0</v>
      </c>
      <c r="R46" s="184">
        <f t="shared" si="8"/>
        <v>0</v>
      </c>
      <c r="S46" s="183">
        <f t="shared" si="8"/>
        <v>0</v>
      </c>
      <c r="T46" s="184">
        <f t="shared" si="8"/>
        <v>0</v>
      </c>
      <c r="U46" s="184">
        <f t="shared" si="8"/>
        <v>0</v>
      </c>
      <c r="V46" s="183">
        <f t="shared" si="8"/>
        <v>0</v>
      </c>
      <c r="W46" s="184">
        <f t="shared" si="8"/>
        <v>0</v>
      </c>
      <c r="X46" s="184">
        <f t="shared" si="8"/>
        <v>0</v>
      </c>
      <c r="Y46" s="183">
        <f t="shared" si="8"/>
        <v>0</v>
      </c>
      <c r="Z46" s="184">
        <f t="shared" si="8"/>
        <v>0</v>
      </c>
      <c r="AA46" s="184">
        <f t="shared" si="8"/>
        <v>0</v>
      </c>
      <c r="AB46" s="183">
        <f t="shared" si="8"/>
        <v>0</v>
      </c>
      <c r="AC46" s="184">
        <f t="shared" si="8"/>
        <v>0</v>
      </c>
      <c r="AD46" s="184">
        <f t="shared" si="8"/>
        <v>0</v>
      </c>
      <c r="AE46" s="492">
        <f t="shared" si="8"/>
        <v>-61.665999999999997</v>
      </c>
      <c r="AF46" s="493">
        <f t="shared" si="8"/>
        <v>-60.165999999999997</v>
      </c>
      <c r="AG46" s="493">
        <f t="shared" si="8"/>
        <v>-68.802599999999984</v>
      </c>
      <c r="AH46" s="492">
        <f t="shared" si="8"/>
        <v>-23.26600000000002</v>
      </c>
      <c r="AI46" s="494">
        <f t="shared" si="8"/>
        <v>-23.26600000000002</v>
      </c>
      <c r="AJ46" s="493">
        <f t="shared" si="8"/>
        <v>0</v>
      </c>
      <c r="AK46" s="492">
        <f t="shared" si="8"/>
        <v>0</v>
      </c>
      <c r="AL46" s="493">
        <f t="shared" si="8"/>
        <v>0</v>
      </c>
      <c r="AM46" s="493">
        <f t="shared" si="8"/>
        <v>0</v>
      </c>
      <c r="AN46" s="495">
        <f t="shared" si="4"/>
        <v>-237.16660000000002</v>
      </c>
    </row>
    <row r="47" spans="2:40" ht="20.25" customHeight="1" thickBot="1" x14ac:dyDescent="0.2">
      <c r="B47" s="750" t="s">
        <v>399</v>
      </c>
      <c r="C47" s="751"/>
      <c r="D47" s="418"/>
      <c r="E47" s="419"/>
      <c r="F47" s="419"/>
      <c r="G47" s="418"/>
      <c r="H47" s="419"/>
      <c r="I47" s="419"/>
      <c r="J47" s="418"/>
      <c r="K47" s="419"/>
      <c r="L47" s="419"/>
      <c r="M47" s="418"/>
      <c r="N47" s="419"/>
      <c r="O47" s="419"/>
      <c r="P47" s="418"/>
      <c r="Q47" s="419"/>
      <c r="R47" s="419"/>
      <c r="S47" s="418"/>
      <c r="T47" s="419"/>
      <c r="U47" s="419"/>
      <c r="V47" s="418"/>
      <c r="W47" s="419"/>
      <c r="X47" s="419"/>
      <c r="Y47" s="418"/>
      <c r="Z47" s="419"/>
      <c r="AA47" s="419"/>
      <c r="AB47" s="420"/>
      <c r="AC47" s="421"/>
      <c r="AD47" s="421"/>
      <c r="AE47" s="420">
        <f>AE46*-1</f>
        <v>61.665999999999997</v>
      </c>
      <c r="AF47" s="421">
        <f>AF46*-1</f>
        <v>60.165999999999997</v>
      </c>
      <c r="AG47" s="421">
        <f>AG46*-1</f>
        <v>68.802599999999984</v>
      </c>
      <c r="AH47" s="420">
        <f>AH46*-1</f>
        <v>23.26600000000002</v>
      </c>
      <c r="AI47" s="421">
        <f>AI46*-1</f>
        <v>23.26600000000002</v>
      </c>
      <c r="AJ47" s="421"/>
      <c r="AK47" s="420"/>
      <c r="AL47" s="421"/>
      <c r="AM47" s="421"/>
      <c r="AN47" s="422">
        <f t="shared" si="4"/>
        <v>237.16660000000002</v>
      </c>
    </row>
  </sheetData>
  <mergeCells count="42">
    <mergeCell ref="B47:C47"/>
    <mergeCell ref="AK37:AM37"/>
    <mergeCell ref="AN37:AN38"/>
    <mergeCell ref="B39:C39"/>
    <mergeCell ref="B40:C40"/>
    <mergeCell ref="B41:B45"/>
    <mergeCell ref="B46:C46"/>
    <mergeCell ref="S37:U37"/>
    <mergeCell ref="V37:X37"/>
    <mergeCell ref="Y37:AA37"/>
    <mergeCell ref="AB37:AD37"/>
    <mergeCell ref="AE37:AG37"/>
    <mergeCell ref="AH37:AJ37"/>
    <mergeCell ref="B37:C38"/>
    <mergeCell ref="D37:F37"/>
    <mergeCell ref="G37:I37"/>
    <mergeCell ref="J37:L37"/>
    <mergeCell ref="M37:O37"/>
    <mergeCell ref="P37:R37"/>
    <mergeCell ref="B17:B22"/>
    <mergeCell ref="B23:B24"/>
    <mergeCell ref="B29:C29"/>
    <mergeCell ref="B30:C30"/>
    <mergeCell ref="B31:C31"/>
    <mergeCell ref="AK4:AM4"/>
    <mergeCell ref="AN4:AN5"/>
    <mergeCell ref="B7:C10"/>
    <mergeCell ref="AD8:AE8"/>
    <mergeCell ref="B11:B13"/>
    <mergeCell ref="AE4:AG4"/>
    <mergeCell ref="AH4:AJ4"/>
    <mergeCell ref="B14:B16"/>
    <mergeCell ref="S4:U4"/>
    <mergeCell ref="V4:X4"/>
    <mergeCell ref="Y4:AA4"/>
    <mergeCell ref="AB4:AD4"/>
    <mergeCell ref="B4:C5"/>
    <mergeCell ref="D4:F4"/>
    <mergeCell ref="G4:I4"/>
    <mergeCell ref="J4:L4"/>
    <mergeCell ref="M4:O4"/>
    <mergeCell ref="P4:R4"/>
  </mergeCells>
  <phoneticPr fontId="6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rowBreaks count="1" manualBreakCount="1">
    <brk id="17" max="39" man="1"/>
  </rowBreaks>
  <colBreaks count="1" manualBreakCount="1">
    <brk id="1" max="5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4"/>
  <sheetViews>
    <sheetView zoomScale="75" zoomScaleNormal="75" zoomScaleSheetLayoutView="80" workbookViewId="0"/>
  </sheetViews>
  <sheetFormatPr defaultRowHeight="13.5" x14ac:dyDescent="0.15"/>
  <cols>
    <col min="1" max="1" width="1.625" style="28" customWidth="1"/>
    <col min="2" max="2" width="5" style="28" customWidth="1"/>
    <col min="3" max="3" width="22.5" style="28" bestFit="1" customWidth="1"/>
    <col min="4" max="4" width="30" style="28" bestFit="1" customWidth="1"/>
    <col min="5" max="6" width="6" style="28" bestFit="1" customWidth="1"/>
    <col min="7" max="7" width="17.625" style="28" customWidth="1"/>
    <col min="8" max="8" width="10.625" style="28" customWidth="1"/>
    <col min="9" max="9" width="17.625" style="28" customWidth="1"/>
    <col min="10" max="10" width="10.625" style="28" customWidth="1"/>
    <col min="11" max="11" width="15.125" style="29" bestFit="1" customWidth="1"/>
    <col min="12" max="12" width="17.625" style="28" customWidth="1"/>
    <col min="13" max="13" width="10.625" style="28" customWidth="1"/>
    <col min="14" max="14" width="17.625" style="28" customWidth="1"/>
    <col min="15" max="15" width="10.625" style="28" customWidth="1"/>
    <col min="16" max="16" width="19.75" style="28" bestFit="1" customWidth="1"/>
    <col min="17" max="16384" width="9" style="28"/>
  </cols>
  <sheetData>
    <row r="1" spans="2:16" ht="9.9499999999999993" customHeight="1" x14ac:dyDescent="0.15"/>
    <row r="2" spans="2:16" ht="24.95" customHeight="1" thickBot="1" x14ac:dyDescent="0.2">
      <c r="B2" s="5" t="s">
        <v>247</v>
      </c>
      <c r="C2" s="5"/>
      <c r="D2" s="5"/>
      <c r="E2" s="30"/>
      <c r="F2" s="765"/>
      <c r="G2" s="766"/>
      <c r="H2" s="187" t="s">
        <v>133</v>
      </c>
      <c r="I2" s="172" t="s">
        <v>481</v>
      </c>
      <c r="J2" s="172"/>
      <c r="K2" s="187" t="s">
        <v>134</v>
      </c>
      <c r="L2" s="172" t="s">
        <v>479</v>
      </c>
      <c r="M2" s="31"/>
      <c r="P2" s="282"/>
    </row>
    <row r="3" spans="2:16" ht="20.25" customHeight="1" x14ac:dyDescent="0.15">
      <c r="B3" s="767" t="s">
        <v>48</v>
      </c>
      <c r="C3" s="760" t="s">
        <v>27</v>
      </c>
      <c r="D3" s="760" t="s">
        <v>69</v>
      </c>
      <c r="E3" s="769" t="s">
        <v>28</v>
      </c>
      <c r="F3" s="770"/>
      <c r="G3" s="293" t="s">
        <v>202</v>
      </c>
      <c r="H3" s="293" t="s">
        <v>71</v>
      </c>
      <c r="I3" s="293" t="s">
        <v>70</v>
      </c>
      <c r="J3" s="760" t="s">
        <v>53</v>
      </c>
      <c r="K3" s="294" t="s">
        <v>248</v>
      </c>
      <c r="L3" s="293" t="s">
        <v>29</v>
      </c>
      <c r="M3" s="293" t="s">
        <v>72</v>
      </c>
      <c r="N3" s="293" t="s">
        <v>30</v>
      </c>
      <c r="O3" s="293" t="s">
        <v>31</v>
      </c>
      <c r="P3" s="231" t="s">
        <v>32</v>
      </c>
    </row>
    <row r="4" spans="2:16" ht="20.25" customHeight="1" x14ac:dyDescent="0.15">
      <c r="B4" s="768"/>
      <c r="C4" s="761"/>
      <c r="D4" s="761"/>
      <c r="E4" s="7" t="s">
        <v>54</v>
      </c>
      <c r="F4" s="7" t="s">
        <v>6</v>
      </c>
      <c r="G4" s="295" t="s">
        <v>249</v>
      </c>
      <c r="H4" s="295" t="s">
        <v>250</v>
      </c>
      <c r="I4" s="295" t="s">
        <v>74</v>
      </c>
      <c r="J4" s="761"/>
      <c r="K4" s="296" t="s">
        <v>251</v>
      </c>
      <c r="L4" s="295" t="s">
        <v>438</v>
      </c>
      <c r="M4" s="295" t="s">
        <v>252</v>
      </c>
      <c r="N4" s="295" t="s">
        <v>439</v>
      </c>
      <c r="O4" s="295" t="s">
        <v>253</v>
      </c>
      <c r="P4" s="232" t="s">
        <v>440</v>
      </c>
    </row>
    <row r="5" spans="2:16" ht="20.25" customHeight="1" x14ac:dyDescent="0.15">
      <c r="B5" s="771" t="s">
        <v>99</v>
      </c>
      <c r="C5" s="188" t="s">
        <v>371</v>
      </c>
      <c r="D5" s="188" t="s">
        <v>409</v>
      </c>
      <c r="E5" s="188">
        <v>1050</v>
      </c>
      <c r="F5" s="32" t="s">
        <v>138</v>
      </c>
      <c r="G5" s="188">
        <f>E5*24000</f>
        <v>25200000</v>
      </c>
      <c r="H5" s="189">
        <v>0</v>
      </c>
      <c r="I5" s="188">
        <f t="shared" ref="I5:I10" si="0">G5*(1-H5)</f>
        <v>25200000</v>
      </c>
      <c r="J5" s="188"/>
      <c r="K5" s="190">
        <v>1</v>
      </c>
      <c r="L5" s="205">
        <f t="shared" ref="L5:L10" si="1">I5*K5</f>
        <v>25200000</v>
      </c>
      <c r="M5" s="297">
        <v>0</v>
      </c>
      <c r="N5" s="205">
        <f t="shared" ref="N5:N10" si="2">L5*M5/100</f>
        <v>0</v>
      </c>
      <c r="O5" s="205">
        <v>17</v>
      </c>
      <c r="P5" s="101">
        <f t="shared" ref="P5:P10" si="3">IF(O5="","",(L5-N5)/O5)</f>
        <v>1482352.9411764706</v>
      </c>
    </row>
    <row r="6" spans="2:16" ht="20.25" customHeight="1" x14ac:dyDescent="0.15">
      <c r="B6" s="772"/>
      <c r="C6" s="188" t="s">
        <v>372</v>
      </c>
      <c r="D6" s="188" t="s">
        <v>373</v>
      </c>
      <c r="E6" s="401">
        <v>360</v>
      </c>
      <c r="F6" s="32" t="s">
        <v>138</v>
      </c>
      <c r="G6" s="401">
        <f>E6*24000</f>
        <v>8640000</v>
      </c>
      <c r="H6" s="189">
        <v>0</v>
      </c>
      <c r="I6" s="188">
        <f t="shared" si="0"/>
        <v>8640000</v>
      </c>
      <c r="J6" s="401"/>
      <c r="K6" s="190">
        <v>1</v>
      </c>
      <c r="L6" s="205">
        <f t="shared" si="1"/>
        <v>8640000</v>
      </c>
      <c r="M6" s="297">
        <v>0</v>
      </c>
      <c r="N6" s="205">
        <f t="shared" si="2"/>
        <v>0</v>
      </c>
      <c r="O6" s="205">
        <v>17</v>
      </c>
      <c r="P6" s="101">
        <f t="shared" si="3"/>
        <v>508235.29411764705</v>
      </c>
    </row>
    <row r="7" spans="2:16" ht="20.25" customHeight="1" x14ac:dyDescent="0.15">
      <c r="B7" s="772"/>
      <c r="C7" s="188" t="s">
        <v>203</v>
      </c>
      <c r="D7" s="188" t="s">
        <v>210</v>
      </c>
      <c r="E7" s="191">
        <v>567</v>
      </c>
      <c r="F7" s="32" t="s">
        <v>138</v>
      </c>
      <c r="G7" s="188">
        <f>E7*22000</f>
        <v>12474000</v>
      </c>
      <c r="H7" s="189">
        <v>0</v>
      </c>
      <c r="I7" s="188">
        <f t="shared" si="0"/>
        <v>12474000</v>
      </c>
      <c r="J7" s="188"/>
      <c r="K7" s="190">
        <v>1</v>
      </c>
      <c r="L7" s="205">
        <f t="shared" si="1"/>
        <v>12474000</v>
      </c>
      <c r="M7" s="297">
        <v>0</v>
      </c>
      <c r="N7" s="205">
        <f t="shared" si="2"/>
        <v>0</v>
      </c>
      <c r="O7" s="205">
        <v>17</v>
      </c>
      <c r="P7" s="101">
        <f t="shared" si="3"/>
        <v>733764.70588235289</v>
      </c>
    </row>
    <row r="8" spans="2:16" ht="20.25" customHeight="1" x14ac:dyDescent="0.15">
      <c r="B8" s="772"/>
      <c r="C8" s="188" t="s">
        <v>424</v>
      </c>
      <c r="D8" s="188" t="s">
        <v>411</v>
      </c>
      <c r="E8" s="191">
        <v>400</v>
      </c>
      <c r="F8" s="32" t="s">
        <v>138</v>
      </c>
      <c r="G8" s="188">
        <f>E8*6000</f>
        <v>2400000</v>
      </c>
      <c r="H8" s="189">
        <v>0</v>
      </c>
      <c r="I8" s="188">
        <f t="shared" si="0"/>
        <v>2400000</v>
      </c>
      <c r="J8" s="188"/>
      <c r="K8" s="190">
        <v>1</v>
      </c>
      <c r="L8" s="188">
        <f t="shared" si="1"/>
        <v>2400000</v>
      </c>
      <c r="M8" s="297">
        <v>0</v>
      </c>
      <c r="N8" s="205">
        <f t="shared" si="2"/>
        <v>0</v>
      </c>
      <c r="O8" s="205">
        <v>10</v>
      </c>
      <c r="P8" s="101">
        <f t="shared" si="3"/>
        <v>240000</v>
      </c>
    </row>
    <row r="9" spans="2:16" ht="20.25" customHeight="1" x14ac:dyDescent="0.15">
      <c r="B9" s="772"/>
      <c r="C9" s="188" t="s">
        <v>204</v>
      </c>
      <c r="D9" s="188" t="s">
        <v>408</v>
      </c>
      <c r="E9" s="191">
        <v>120</v>
      </c>
      <c r="F9" s="32" t="s">
        <v>138</v>
      </c>
      <c r="G9" s="188">
        <f>E9*24000</f>
        <v>2880000</v>
      </c>
      <c r="H9" s="189">
        <v>0</v>
      </c>
      <c r="I9" s="188">
        <f t="shared" si="0"/>
        <v>2880000</v>
      </c>
      <c r="J9" s="188"/>
      <c r="K9" s="190">
        <v>1</v>
      </c>
      <c r="L9" s="205">
        <f t="shared" si="1"/>
        <v>2880000</v>
      </c>
      <c r="M9" s="297">
        <v>0</v>
      </c>
      <c r="N9" s="205">
        <f t="shared" si="2"/>
        <v>0</v>
      </c>
      <c r="O9" s="205">
        <v>17</v>
      </c>
      <c r="P9" s="101">
        <f t="shared" si="3"/>
        <v>169411.76470588235</v>
      </c>
    </row>
    <row r="10" spans="2:16" ht="20.25" customHeight="1" x14ac:dyDescent="0.15">
      <c r="B10" s="772"/>
      <c r="C10" s="205"/>
      <c r="D10" s="205"/>
      <c r="E10" s="205"/>
      <c r="F10" s="298"/>
      <c r="G10" s="205"/>
      <c r="H10" s="297"/>
      <c r="I10" s="205">
        <f t="shared" si="0"/>
        <v>0</v>
      </c>
      <c r="J10" s="205"/>
      <c r="K10" s="299"/>
      <c r="L10" s="205">
        <f t="shared" si="1"/>
        <v>0</v>
      </c>
      <c r="M10" s="297"/>
      <c r="N10" s="205">
        <f t="shared" si="2"/>
        <v>0</v>
      </c>
      <c r="O10" s="205"/>
      <c r="P10" s="101" t="str">
        <f t="shared" si="3"/>
        <v/>
      </c>
    </row>
    <row r="11" spans="2:16" ht="20.25" customHeight="1" x14ac:dyDescent="0.15">
      <c r="B11" s="773"/>
      <c r="C11" s="300" t="s">
        <v>33</v>
      </c>
      <c r="D11" s="301"/>
      <c r="E11" s="301"/>
      <c r="F11" s="302"/>
      <c r="G11" s="301">
        <f>SUM(G5:G10)</f>
        <v>51594000</v>
      </c>
      <c r="H11" s="301"/>
      <c r="I11" s="301">
        <f>SUM(I5:I10)</f>
        <v>51594000</v>
      </c>
      <c r="J11" s="301"/>
      <c r="K11" s="303"/>
      <c r="L11" s="301">
        <f>SUM(L5:L10)</f>
        <v>51594000</v>
      </c>
      <c r="M11" s="301"/>
      <c r="N11" s="301"/>
      <c r="O11" s="301"/>
      <c r="P11" s="233">
        <f>SUM(P5:P10)</f>
        <v>3133764.7058823528</v>
      </c>
    </row>
    <row r="12" spans="2:16" ht="20.25" customHeight="1" x14ac:dyDescent="0.15">
      <c r="B12" s="762" t="s">
        <v>100</v>
      </c>
      <c r="C12" s="188" t="s">
        <v>35</v>
      </c>
      <c r="D12" s="188" t="s">
        <v>254</v>
      </c>
      <c r="E12" s="188">
        <v>1</v>
      </c>
      <c r="F12" s="32" t="s">
        <v>36</v>
      </c>
      <c r="G12" s="188">
        <v>4367700</v>
      </c>
      <c r="H12" s="189">
        <v>0</v>
      </c>
      <c r="I12" s="188">
        <f>G12*(1-H12)</f>
        <v>4367700</v>
      </c>
      <c r="J12" s="188"/>
      <c r="K12" s="190">
        <v>1</v>
      </c>
      <c r="L12" s="188">
        <f>I12*K12</f>
        <v>4367700</v>
      </c>
      <c r="M12" s="304">
        <v>0</v>
      </c>
      <c r="N12" s="205">
        <f t="shared" ref="N12:N36" si="4">L12*M12</f>
        <v>0</v>
      </c>
      <c r="O12" s="305">
        <v>7</v>
      </c>
      <c r="P12" s="101">
        <f t="shared" ref="P12:P36" si="5">IF(O12="","",(L12-N12)/O12)</f>
        <v>623957.14285714284</v>
      </c>
    </row>
    <row r="13" spans="2:16" ht="20.25" customHeight="1" x14ac:dyDescent="0.15">
      <c r="B13" s="763"/>
      <c r="C13" s="188" t="s">
        <v>35</v>
      </c>
      <c r="D13" s="188" t="s">
        <v>446</v>
      </c>
      <c r="E13" s="188">
        <v>1</v>
      </c>
      <c r="F13" s="32" t="s">
        <v>36</v>
      </c>
      <c r="G13" s="188">
        <v>2713200</v>
      </c>
      <c r="H13" s="189">
        <v>0</v>
      </c>
      <c r="I13" s="188">
        <f>G13*(1-H13)</f>
        <v>2713200</v>
      </c>
      <c r="J13" s="188"/>
      <c r="K13" s="190">
        <v>1</v>
      </c>
      <c r="L13" s="188">
        <f>I13*K13</f>
        <v>2713200</v>
      </c>
      <c r="M13" s="304">
        <v>0</v>
      </c>
      <c r="N13" s="205">
        <f t="shared" ref="N13" si="6">L13*M13</f>
        <v>0</v>
      </c>
      <c r="O13" s="305">
        <v>7</v>
      </c>
      <c r="P13" s="101">
        <f t="shared" ref="P13" si="7">IF(O13="","",(L13-N13)/O13)</f>
        <v>387600</v>
      </c>
    </row>
    <row r="14" spans="2:16" ht="20.25" customHeight="1" x14ac:dyDescent="0.15">
      <c r="B14" s="763"/>
      <c r="C14" s="188" t="s">
        <v>255</v>
      </c>
      <c r="D14" s="188" t="s">
        <v>374</v>
      </c>
      <c r="E14" s="188">
        <v>1</v>
      </c>
      <c r="F14" s="32" t="s">
        <v>36</v>
      </c>
      <c r="G14" s="188">
        <v>1500000</v>
      </c>
      <c r="H14" s="189">
        <v>0</v>
      </c>
      <c r="I14" s="188">
        <f t="shared" ref="I14:I41" si="8">G14*(1-H14)</f>
        <v>1500000</v>
      </c>
      <c r="J14" s="188"/>
      <c r="K14" s="190">
        <v>1</v>
      </c>
      <c r="L14" s="188">
        <f t="shared" ref="L14:L36" si="9">I14*K14</f>
        <v>1500000</v>
      </c>
      <c r="M14" s="304">
        <v>0</v>
      </c>
      <c r="N14" s="205">
        <f t="shared" si="4"/>
        <v>0</v>
      </c>
      <c r="O14" s="205">
        <v>4</v>
      </c>
      <c r="P14" s="101">
        <f t="shared" si="5"/>
        <v>375000</v>
      </c>
    </row>
    <row r="15" spans="2:16" ht="20.25" customHeight="1" x14ac:dyDescent="0.15">
      <c r="B15" s="763"/>
      <c r="C15" s="188" t="s">
        <v>256</v>
      </c>
      <c r="D15" s="8" t="s">
        <v>386</v>
      </c>
      <c r="E15" s="188">
        <v>1</v>
      </c>
      <c r="F15" s="197" t="s">
        <v>55</v>
      </c>
      <c r="G15" s="188">
        <v>276150</v>
      </c>
      <c r="H15" s="189">
        <v>0.5</v>
      </c>
      <c r="I15" s="188">
        <f t="shared" si="8"/>
        <v>138075</v>
      </c>
      <c r="J15" s="188"/>
      <c r="K15" s="190">
        <v>1</v>
      </c>
      <c r="L15" s="188">
        <f t="shared" si="9"/>
        <v>138075</v>
      </c>
      <c r="M15" s="304">
        <v>0</v>
      </c>
      <c r="N15" s="205">
        <f t="shared" si="4"/>
        <v>0</v>
      </c>
      <c r="O15" s="205">
        <v>7</v>
      </c>
      <c r="P15" s="101">
        <f t="shared" si="5"/>
        <v>19725</v>
      </c>
    </row>
    <row r="16" spans="2:16" ht="20.25" customHeight="1" x14ac:dyDescent="0.15">
      <c r="B16" s="763"/>
      <c r="C16" s="188" t="s">
        <v>257</v>
      </c>
      <c r="D16" s="188" t="s">
        <v>258</v>
      </c>
      <c r="E16" s="188">
        <v>1</v>
      </c>
      <c r="F16" s="32" t="s">
        <v>55</v>
      </c>
      <c r="G16" s="188">
        <v>805350</v>
      </c>
      <c r="H16" s="189">
        <v>0.5</v>
      </c>
      <c r="I16" s="188">
        <f t="shared" si="8"/>
        <v>402675</v>
      </c>
      <c r="J16" s="188"/>
      <c r="K16" s="190">
        <v>1</v>
      </c>
      <c r="L16" s="188">
        <f t="shared" si="9"/>
        <v>402675</v>
      </c>
      <c r="M16" s="297">
        <v>0</v>
      </c>
      <c r="N16" s="205">
        <f t="shared" si="4"/>
        <v>0</v>
      </c>
      <c r="O16" s="205">
        <v>7</v>
      </c>
      <c r="P16" s="101">
        <f t="shared" si="5"/>
        <v>57525</v>
      </c>
    </row>
    <row r="17" spans="2:16" ht="20.25" customHeight="1" x14ac:dyDescent="0.15">
      <c r="B17" s="763"/>
      <c r="C17" s="188" t="s">
        <v>208</v>
      </c>
      <c r="D17" s="188" t="s">
        <v>259</v>
      </c>
      <c r="E17" s="188">
        <v>1</v>
      </c>
      <c r="F17" s="32" t="s">
        <v>55</v>
      </c>
      <c r="G17" s="188">
        <v>900900</v>
      </c>
      <c r="H17" s="189">
        <v>0.5</v>
      </c>
      <c r="I17" s="188">
        <f t="shared" si="8"/>
        <v>450450</v>
      </c>
      <c r="J17" s="188"/>
      <c r="K17" s="190">
        <v>1</v>
      </c>
      <c r="L17" s="188">
        <f t="shared" si="9"/>
        <v>450450</v>
      </c>
      <c r="M17" s="297">
        <v>0</v>
      </c>
      <c r="N17" s="205">
        <f t="shared" si="4"/>
        <v>0</v>
      </c>
      <c r="O17" s="205">
        <v>7</v>
      </c>
      <c r="P17" s="101">
        <f t="shared" si="5"/>
        <v>64350</v>
      </c>
    </row>
    <row r="18" spans="2:16" ht="20.25" customHeight="1" x14ac:dyDescent="0.15">
      <c r="B18" s="763"/>
      <c r="C18" s="188" t="s">
        <v>260</v>
      </c>
      <c r="D18" s="188" t="s">
        <v>261</v>
      </c>
      <c r="E18" s="188">
        <v>1</v>
      </c>
      <c r="F18" s="32" t="s">
        <v>55</v>
      </c>
      <c r="G18" s="188">
        <v>808500</v>
      </c>
      <c r="H18" s="189">
        <v>0.5</v>
      </c>
      <c r="I18" s="188">
        <f t="shared" si="8"/>
        <v>404250</v>
      </c>
      <c r="J18" s="188"/>
      <c r="K18" s="190">
        <v>1</v>
      </c>
      <c r="L18" s="188">
        <f t="shared" si="9"/>
        <v>404250</v>
      </c>
      <c r="M18" s="297">
        <v>0</v>
      </c>
      <c r="N18" s="205">
        <f t="shared" si="4"/>
        <v>0</v>
      </c>
      <c r="O18" s="205">
        <v>7</v>
      </c>
      <c r="P18" s="101">
        <f t="shared" si="5"/>
        <v>57750</v>
      </c>
    </row>
    <row r="19" spans="2:16" ht="20.25" customHeight="1" x14ac:dyDescent="0.15">
      <c r="B19" s="763"/>
      <c r="C19" s="188" t="s">
        <v>262</v>
      </c>
      <c r="D19" s="188" t="s">
        <v>385</v>
      </c>
      <c r="E19" s="188">
        <v>1</v>
      </c>
      <c r="F19" s="32" t="s">
        <v>55</v>
      </c>
      <c r="G19" s="188">
        <v>564900</v>
      </c>
      <c r="H19" s="189">
        <v>0.5</v>
      </c>
      <c r="I19" s="188">
        <f t="shared" si="8"/>
        <v>282450</v>
      </c>
      <c r="J19" s="188"/>
      <c r="K19" s="190">
        <v>1</v>
      </c>
      <c r="L19" s="188">
        <f t="shared" si="9"/>
        <v>282450</v>
      </c>
      <c r="M19" s="297">
        <v>0</v>
      </c>
      <c r="N19" s="205">
        <f t="shared" si="4"/>
        <v>0</v>
      </c>
      <c r="O19" s="205">
        <v>7</v>
      </c>
      <c r="P19" s="101">
        <f t="shared" si="5"/>
        <v>40350</v>
      </c>
    </row>
    <row r="20" spans="2:16" ht="20.25" customHeight="1" x14ac:dyDescent="0.15">
      <c r="B20" s="763"/>
      <c r="C20" s="188" t="s">
        <v>205</v>
      </c>
      <c r="D20" s="188" t="s">
        <v>263</v>
      </c>
      <c r="E20" s="188">
        <v>1</v>
      </c>
      <c r="F20" s="32" t="s">
        <v>55</v>
      </c>
      <c r="G20" s="188">
        <v>2773050</v>
      </c>
      <c r="H20" s="189">
        <v>0.5</v>
      </c>
      <c r="I20" s="188">
        <f t="shared" si="8"/>
        <v>1386525</v>
      </c>
      <c r="J20" s="188"/>
      <c r="K20" s="190">
        <v>1</v>
      </c>
      <c r="L20" s="188">
        <f t="shared" si="9"/>
        <v>1386525</v>
      </c>
      <c r="M20" s="297">
        <v>0</v>
      </c>
      <c r="N20" s="205">
        <f t="shared" si="4"/>
        <v>0</v>
      </c>
      <c r="O20" s="205">
        <v>7</v>
      </c>
      <c r="P20" s="101">
        <f t="shared" si="5"/>
        <v>198075</v>
      </c>
    </row>
    <row r="21" spans="2:16" ht="20.25" customHeight="1" x14ac:dyDescent="0.15">
      <c r="B21" s="763"/>
      <c r="C21" s="188" t="s">
        <v>206</v>
      </c>
      <c r="D21" s="188" t="s">
        <v>264</v>
      </c>
      <c r="E21" s="188">
        <v>1</v>
      </c>
      <c r="F21" s="32" t="s">
        <v>55</v>
      </c>
      <c r="G21" s="188">
        <v>1769250</v>
      </c>
      <c r="H21" s="189">
        <v>0.5</v>
      </c>
      <c r="I21" s="188">
        <f t="shared" si="8"/>
        <v>884625</v>
      </c>
      <c r="J21" s="188"/>
      <c r="K21" s="190">
        <v>1</v>
      </c>
      <c r="L21" s="188">
        <f t="shared" si="9"/>
        <v>884625</v>
      </c>
      <c r="M21" s="297">
        <v>0</v>
      </c>
      <c r="N21" s="205">
        <f t="shared" si="4"/>
        <v>0</v>
      </c>
      <c r="O21" s="205">
        <v>7</v>
      </c>
      <c r="P21" s="101">
        <f t="shared" si="5"/>
        <v>126375</v>
      </c>
    </row>
    <row r="22" spans="2:16" ht="20.25" customHeight="1" x14ac:dyDescent="0.15">
      <c r="B22" s="763"/>
      <c r="C22" s="188" t="s">
        <v>266</v>
      </c>
      <c r="D22" s="188"/>
      <c r="E22" s="188">
        <v>1</v>
      </c>
      <c r="F22" s="32" t="s">
        <v>55</v>
      </c>
      <c r="G22" s="188">
        <v>836750</v>
      </c>
      <c r="H22" s="189">
        <v>0.5</v>
      </c>
      <c r="I22" s="188">
        <f t="shared" si="8"/>
        <v>418375</v>
      </c>
      <c r="J22" s="188"/>
      <c r="K22" s="190">
        <v>1</v>
      </c>
      <c r="L22" s="188">
        <f t="shared" si="9"/>
        <v>418375</v>
      </c>
      <c r="M22" s="297">
        <v>0</v>
      </c>
      <c r="N22" s="205">
        <f t="shared" si="4"/>
        <v>0</v>
      </c>
      <c r="O22" s="205">
        <v>7</v>
      </c>
      <c r="P22" s="101">
        <f t="shared" si="5"/>
        <v>59767.857142857145</v>
      </c>
    </row>
    <row r="23" spans="2:16" ht="20.25" customHeight="1" x14ac:dyDescent="0.15">
      <c r="B23" s="763"/>
      <c r="C23" s="188" t="s">
        <v>207</v>
      </c>
      <c r="D23" s="188"/>
      <c r="E23" s="188">
        <v>1</v>
      </c>
      <c r="F23" s="32" t="s">
        <v>55</v>
      </c>
      <c r="G23" s="188">
        <v>290850</v>
      </c>
      <c r="H23" s="189">
        <v>0.5</v>
      </c>
      <c r="I23" s="188">
        <f t="shared" si="8"/>
        <v>145425</v>
      </c>
      <c r="J23" s="188"/>
      <c r="K23" s="190">
        <v>1</v>
      </c>
      <c r="L23" s="188">
        <f t="shared" si="9"/>
        <v>145425</v>
      </c>
      <c r="M23" s="297">
        <v>0</v>
      </c>
      <c r="N23" s="205">
        <f t="shared" si="4"/>
        <v>0</v>
      </c>
      <c r="O23" s="205">
        <v>7</v>
      </c>
      <c r="P23" s="101">
        <f t="shared" si="5"/>
        <v>20775</v>
      </c>
    </row>
    <row r="24" spans="2:16" ht="20.25" customHeight="1" x14ac:dyDescent="0.15">
      <c r="B24" s="763"/>
      <c r="C24" s="188" t="s">
        <v>281</v>
      </c>
      <c r="D24" s="188" t="s">
        <v>282</v>
      </c>
      <c r="E24" s="188">
        <v>1</v>
      </c>
      <c r="F24" s="32" t="s">
        <v>55</v>
      </c>
      <c r="G24" s="188">
        <v>1262100</v>
      </c>
      <c r="H24" s="189">
        <v>0.5</v>
      </c>
      <c r="I24" s="188">
        <f t="shared" si="8"/>
        <v>631050</v>
      </c>
      <c r="J24" s="188"/>
      <c r="K24" s="190">
        <v>1</v>
      </c>
      <c r="L24" s="188">
        <f t="shared" si="9"/>
        <v>631050</v>
      </c>
      <c r="M24" s="297">
        <v>0</v>
      </c>
      <c r="N24" s="205">
        <f t="shared" si="4"/>
        <v>0</v>
      </c>
      <c r="O24" s="205">
        <v>7</v>
      </c>
      <c r="P24" s="101">
        <f t="shared" si="5"/>
        <v>90150</v>
      </c>
    </row>
    <row r="25" spans="2:16" ht="20.25" customHeight="1" x14ac:dyDescent="0.15">
      <c r="B25" s="763"/>
      <c r="C25" s="188" t="s">
        <v>268</v>
      </c>
      <c r="D25" s="188"/>
      <c r="E25" s="188">
        <v>1</v>
      </c>
      <c r="F25" s="32" t="s">
        <v>55</v>
      </c>
      <c r="G25" s="188">
        <v>147000</v>
      </c>
      <c r="H25" s="189">
        <v>0.5</v>
      </c>
      <c r="I25" s="188">
        <v>73500</v>
      </c>
      <c r="J25" s="188"/>
      <c r="K25" s="190">
        <v>1</v>
      </c>
      <c r="L25" s="188">
        <v>73500</v>
      </c>
      <c r="M25" s="297">
        <v>0</v>
      </c>
      <c r="N25" s="205">
        <v>0</v>
      </c>
      <c r="O25" s="205">
        <v>7</v>
      </c>
      <c r="P25" s="101">
        <v>10500</v>
      </c>
    </row>
    <row r="26" spans="2:16" ht="20.25" customHeight="1" x14ac:dyDescent="0.15">
      <c r="B26" s="763"/>
      <c r="C26" s="188" t="s">
        <v>375</v>
      </c>
      <c r="D26" s="188" t="s">
        <v>419</v>
      </c>
      <c r="E26" s="188">
        <v>1</v>
      </c>
      <c r="F26" s="32" t="s">
        <v>55</v>
      </c>
      <c r="G26" s="188">
        <f>2310000</f>
        <v>2310000</v>
      </c>
      <c r="H26" s="189">
        <v>0</v>
      </c>
      <c r="I26" s="188">
        <f t="shared" si="8"/>
        <v>2310000</v>
      </c>
      <c r="J26" s="188"/>
      <c r="K26" s="190">
        <v>1</v>
      </c>
      <c r="L26" s="188">
        <f t="shared" si="9"/>
        <v>2310000</v>
      </c>
      <c r="M26" s="297">
        <v>0</v>
      </c>
      <c r="N26" s="205">
        <f t="shared" si="4"/>
        <v>0</v>
      </c>
      <c r="O26" s="205">
        <v>6</v>
      </c>
      <c r="P26" s="101">
        <f t="shared" si="5"/>
        <v>385000</v>
      </c>
    </row>
    <row r="27" spans="2:16" ht="20.25" customHeight="1" x14ac:dyDescent="0.15">
      <c r="B27" s="763"/>
      <c r="C27" s="188"/>
      <c r="D27" s="188"/>
      <c r="E27" s="188"/>
      <c r="F27" s="32"/>
      <c r="G27" s="188"/>
      <c r="H27" s="189"/>
      <c r="I27" s="188">
        <f t="shared" si="8"/>
        <v>0</v>
      </c>
      <c r="J27" s="188"/>
      <c r="K27" s="190"/>
      <c r="L27" s="188">
        <f t="shared" si="9"/>
        <v>0</v>
      </c>
      <c r="M27" s="297"/>
      <c r="N27" s="205">
        <f t="shared" si="4"/>
        <v>0</v>
      </c>
      <c r="O27" s="205"/>
      <c r="P27" s="101" t="str">
        <f t="shared" si="5"/>
        <v/>
      </c>
    </row>
    <row r="28" spans="2:16" ht="20.25" customHeight="1" x14ac:dyDescent="0.15">
      <c r="B28" s="763"/>
      <c r="C28" s="188"/>
      <c r="D28" s="188"/>
      <c r="E28" s="188"/>
      <c r="F28" s="32"/>
      <c r="G28" s="188"/>
      <c r="H28" s="189"/>
      <c r="I28" s="188">
        <f t="shared" si="8"/>
        <v>0</v>
      </c>
      <c r="J28" s="188"/>
      <c r="K28" s="190"/>
      <c r="L28" s="188">
        <f t="shared" si="9"/>
        <v>0</v>
      </c>
      <c r="M28" s="297"/>
      <c r="N28" s="205">
        <f t="shared" si="4"/>
        <v>0</v>
      </c>
      <c r="O28" s="205"/>
      <c r="P28" s="101" t="str">
        <f t="shared" si="5"/>
        <v/>
      </c>
    </row>
    <row r="29" spans="2:16" ht="20.25" customHeight="1" x14ac:dyDescent="0.15">
      <c r="B29" s="763"/>
      <c r="C29" s="188"/>
      <c r="D29" s="188"/>
      <c r="E29" s="192"/>
      <c r="F29" s="32"/>
      <c r="G29" s="188"/>
      <c r="H29" s="189"/>
      <c r="I29" s="188">
        <f t="shared" si="8"/>
        <v>0</v>
      </c>
      <c r="J29" s="188"/>
      <c r="K29" s="190"/>
      <c r="L29" s="188">
        <f t="shared" si="9"/>
        <v>0</v>
      </c>
      <c r="M29" s="297"/>
      <c r="N29" s="205">
        <f t="shared" si="4"/>
        <v>0</v>
      </c>
      <c r="O29" s="205"/>
      <c r="P29" s="101" t="str">
        <f t="shared" si="5"/>
        <v/>
      </c>
    </row>
    <row r="30" spans="2:16" ht="20.25" customHeight="1" x14ac:dyDescent="0.15">
      <c r="B30" s="763"/>
      <c r="C30" s="188"/>
      <c r="D30" s="188"/>
      <c r="E30" s="188"/>
      <c r="F30" s="32"/>
      <c r="G30" s="188"/>
      <c r="H30" s="189"/>
      <c r="I30" s="188">
        <f t="shared" si="8"/>
        <v>0</v>
      </c>
      <c r="J30" s="188"/>
      <c r="K30" s="190"/>
      <c r="L30" s="188">
        <f t="shared" si="9"/>
        <v>0</v>
      </c>
      <c r="M30" s="297"/>
      <c r="N30" s="205">
        <f t="shared" si="4"/>
        <v>0</v>
      </c>
      <c r="O30" s="205"/>
      <c r="P30" s="101" t="str">
        <f t="shared" si="5"/>
        <v/>
      </c>
    </row>
    <row r="31" spans="2:16" ht="20.25" customHeight="1" x14ac:dyDescent="0.15">
      <c r="B31" s="763"/>
      <c r="C31" s="188"/>
      <c r="D31" s="188"/>
      <c r="E31" s="188"/>
      <c r="F31" s="32"/>
      <c r="G31" s="188"/>
      <c r="H31" s="189"/>
      <c r="I31" s="188">
        <f t="shared" si="8"/>
        <v>0</v>
      </c>
      <c r="J31" s="188"/>
      <c r="K31" s="190"/>
      <c r="L31" s="188">
        <f t="shared" si="9"/>
        <v>0</v>
      </c>
      <c r="M31" s="297"/>
      <c r="N31" s="205">
        <f t="shared" si="4"/>
        <v>0</v>
      </c>
      <c r="O31" s="205"/>
      <c r="P31" s="101" t="str">
        <f t="shared" si="5"/>
        <v/>
      </c>
    </row>
    <row r="32" spans="2:16" ht="20.25" customHeight="1" x14ac:dyDescent="0.15">
      <c r="B32" s="763"/>
      <c r="C32" s="188"/>
      <c r="D32" s="188"/>
      <c r="E32" s="188"/>
      <c r="F32" s="32"/>
      <c r="G32" s="188"/>
      <c r="H32" s="189"/>
      <c r="I32" s="188">
        <f t="shared" si="8"/>
        <v>0</v>
      </c>
      <c r="J32" s="188"/>
      <c r="K32" s="190"/>
      <c r="L32" s="188">
        <f t="shared" si="9"/>
        <v>0</v>
      </c>
      <c r="M32" s="297"/>
      <c r="N32" s="205">
        <f t="shared" si="4"/>
        <v>0</v>
      </c>
      <c r="O32" s="205"/>
      <c r="P32" s="101" t="str">
        <f t="shared" si="5"/>
        <v/>
      </c>
    </row>
    <row r="33" spans="2:16" ht="20.25" customHeight="1" x14ac:dyDescent="0.15">
      <c r="B33" s="763"/>
      <c r="C33" s="188"/>
      <c r="D33" s="188"/>
      <c r="E33" s="188"/>
      <c r="F33" s="32"/>
      <c r="G33" s="188"/>
      <c r="H33" s="189"/>
      <c r="I33" s="188">
        <f t="shared" si="8"/>
        <v>0</v>
      </c>
      <c r="J33" s="188"/>
      <c r="K33" s="190"/>
      <c r="L33" s="188">
        <f t="shared" si="9"/>
        <v>0</v>
      </c>
      <c r="M33" s="297"/>
      <c r="N33" s="205">
        <f t="shared" si="4"/>
        <v>0</v>
      </c>
      <c r="O33" s="205"/>
      <c r="P33" s="101" t="str">
        <f t="shared" si="5"/>
        <v/>
      </c>
    </row>
    <row r="34" spans="2:16" ht="20.25" customHeight="1" x14ac:dyDescent="0.15">
      <c r="B34" s="763"/>
      <c r="C34" s="188"/>
      <c r="D34" s="188"/>
      <c r="E34" s="188"/>
      <c r="F34" s="32"/>
      <c r="G34" s="188"/>
      <c r="H34" s="189"/>
      <c r="I34" s="188">
        <f t="shared" si="8"/>
        <v>0</v>
      </c>
      <c r="J34" s="188"/>
      <c r="K34" s="190"/>
      <c r="L34" s="188"/>
      <c r="M34" s="297"/>
      <c r="N34" s="205">
        <f t="shared" si="4"/>
        <v>0</v>
      </c>
      <c r="O34" s="205"/>
      <c r="P34" s="101" t="str">
        <f t="shared" si="5"/>
        <v/>
      </c>
    </row>
    <row r="35" spans="2:16" ht="20.25" customHeight="1" x14ac:dyDescent="0.15">
      <c r="B35" s="763"/>
      <c r="C35" s="188"/>
      <c r="D35" s="188"/>
      <c r="E35" s="188"/>
      <c r="F35" s="32"/>
      <c r="G35" s="188"/>
      <c r="H35" s="189"/>
      <c r="I35" s="188">
        <f t="shared" si="8"/>
        <v>0</v>
      </c>
      <c r="J35" s="188"/>
      <c r="K35" s="190"/>
      <c r="L35" s="188">
        <f t="shared" si="9"/>
        <v>0</v>
      </c>
      <c r="M35" s="297"/>
      <c r="N35" s="205">
        <f t="shared" si="4"/>
        <v>0</v>
      </c>
      <c r="O35" s="205"/>
      <c r="P35" s="101" t="str">
        <f t="shared" si="5"/>
        <v/>
      </c>
    </row>
    <row r="36" spans="2:16" ht="20.25" customHeight="1" x14ac:dyDescent="0.15">
      <c r="B36" s="763"/>
      <c r="C36" s="188"/>
      <c r="D36" s="188"/>
      <c r="E36" s="188"/>
      <c r="F36" s="32"/>
      <c r="G36" s="188"/>
      <c r="H36" s="189"/>
      <c r="I36" s="188">
        <f t="shared" si="8"/>
        <v>0</v>
      </c>
      <c r="J36" s="188"/>
      <c r="K36" s="190"/>
      <c r="L36" s="188">
        <f t="shared" si="9"/>
        <v>0</v>
      </c>
      <c r="M36" s="297"/>
      <c r="N36" s="205">
        <f t="shared" si="4"/>
        <v>0</v>
      </c>
      <c r="O36" s="205"/>
      <c r="P36" s="101" t="str">
        <f t="shared" si="5"/>
        <v/>
      </c>
    </row>
    <row r="37" spans="2:16" ht="20.25" customHeight="1" x14ac:dyDescent="0.15">
      <c r="B37" s="764"/>
      <c r="C37" s="193"/>
      <c r="D37" s="193"/>
      <c r="E37" s="193"/>
      <c r="F37" s="194"/>
      <c r="G37" s="193">
        <f>SUM(G12:G35)</f>
        <v>21325700</v>
      </c>
      <c r="H37" s="193"/>
      <c r="I37" s="193">
        <f>SUM(I12:I35)</f>
        <v>16108300</v>
      </c>
      <c r="J37" s="193"/>
      <c r="K37" s="195"/>
      <c r="L37" s="193">
        <f>SUM(L12:L35)</f>
        <v>16108300</v>
      </c>
      <c r="M37" s="301"/>
      <c r="N37" s="301"/>
      <c r="O37" s="301"/>
      <c r="P37" s="233">
        <f>SUM(P12:P35)</f>
        <v>2516900</v>
      </c>
    </row>
    <row r="38" spans="2:16" ht="20.25" customHeight="1" x14ac:dyDescent="0.15">
      <c r="B38" s="762" t="s">
        <v>73</v>
      </c>
      <c r="C38" s="188" t="s">
        <v>209</v>
      </c>
      <c r="D38" s="188" t="s">
        <v>269</v>
      </c>
      <c r="E38" s="188">
        <v>30</v>
      </c>
      <c r="F38" s="32" t="s">
        <v>267</v>
      </c>
      <c r="G38" s="188">
        <v>10575000</v>
      </c>
      <c r="H38" s="196"/>
      <c r="I38" s="188">
        <f t="shared" si="8"/>
        <v>10575000</v>
      </c>
      <c r="J38" s="188"/>
      <c r="K38" s="190">
        <v>1</v>
      </c>
      <c r="L38" s="188">
        <f>I38*K38</f>
        <v>10575000</v>
      </c>
      <c r="M38" s="306"/>
      <c r="N38" s="205">
        <v>0</v>
      </c>
      <c r="O38" s="205">
        <v>6</v>
      </c>
      <c r="P38" s="101">
        <f>IF(O38="","",(L38-N38)/O38)</f>
        <v>1762500</v>
      </c>
    </row>
    <row r="39" spans="2:16" ht="20.25" customHeight="1" x14ac:dyDescent="0.15">
      <c r="B39" s="763"/>
      <c r="C39" s="188"/>
      <c r="D39" s="188"/>
      <c r="E39" s="188"/>
      <c r="F39" s="188"/>
      <c r="G39" s="188"/>
      <c r="H39" s="196"/>
      <c r="I39" s="188">
        <f t="shared" si="8"/>
        <v>0</v>
      </c>
      <c r="J39" s="188"/>
      <c r="K39" s="190"/>
      <c r="L39" s="188">
        <f>I39*K39</f>
        <v>0</v>
      </c>
      <c r="M39" s="306"/>
      <c r="N39" s="205">
        <f>L39*M39</f>
        <v>0</v>
      </c>
      <c r="O39" s="205"/>
      <c r="P39" s="101" t="str">
        <f>IF(O39="","",(L39-N39)/O39)</f>
        <v/>
      </c>
    </row>
    <row r="40" spans="2:16" ht="20.25" customHeight="1" x14ac:dyDescent="0.15">
      <c r="B40" s="763"/>
      <c r="C40" s="205"/>
      <c r="D40" s="205"/>
      <c r="E40" s="205"/>
      <c r="F40" s="205"/>
      <c r="G40" s="205"/>
      <c r="H40" s="306"/>
      <c r="I40" s="205">
        <f t="shared" si="8"/>
        <v>0</v>
      </c>
      <c r="J40" s="205"/>
      <c r="K40" s="299"/>
      <c r="L40" s="205">
        <f>I40*K40</f>
        <v>0</v>
      </c>
      <c r="M40" s="306"/>
      <c r="N40" s="205">
        <f>L40*M40</f>
        <v>0</v>
      </c>
      <c r="O40" s="205"/>
      <c r="P40" s="101" t="str">
        <f>IF(O40="","",(L40-N40)/O40)</f>
        <v/>
      </c>
    </row>
    <row r="41" spans="2:16" ht="20.25" customHeight="1" x14ac:dyDescent="0.15">
      <c r="B41" s="763"/>
      <c r="C41" s="205"/>
      <c r="D41" s="205"/>
      <c r="E41" s="205"/>
      <c r="F41" s="205"/>
      <c r="G41" s="205"/>
      <c r="H41" s="306"/>
      <c r="I41" s="205">
        <f t="shared" si="8"/>
        <v>0</v>
      </c>
      <c r="J41" s="205"/>
      <c r="K41" s="299"/>
      <c r="L41" s="205">
        <f>I41*K41</f>
        <v>0</v>
      </c>
      <c r="M41" s="306"/>
      <c r="N41" s="205">
        <f>L41*M41</f>
        <v>0</v>
      </c>
      <c r="O41" s="205"/>
      <c r="P41" s="101" t="str">
        <f>IF(O41="","",(L41-N41)/O41)</f>
        <v/>
      </c>
    </row>
    <row r="42" spans="2:16" ht="20.25" customHeight="1" x14ac:dyDescent="0.15">
      <c r="B42" s="764"/>
      <c r="C42" s="307" t="s">
        <v>34</v>
      </c>
      <c r="D42" s="301"/>
      <c r="E42" s="301"/>
      <c r="F42" s="302"/>
      <c r="G42" s="301">
        <f>SUM(G38:G41)</f>
        <v>10575000</v>
      </c>
      <c r="H42" s="301"/>
      <c r="I42" s="301">
        <f>SUM(I38:I41)</f>
        <v>10575000</v>
      </c>
      <c r="J42" s="301"/>
      <c r="K42" s="303"/>
      <c r="L42" s="301">
        <f>SUM(L38:L41)</f>
        <v>10575000</v>
      </c>
      <c r="M42" s="301"/>
      <c r="N42" s="301"/>
      <c r="O42" s="301"/>
      <c r="P42" s="233">
        <f>SUM(P38:P41)</f>
        <v>1762500</v>
      </c>
    </row>
    <row r="43" spans="2:16" ht="20.25" customHeight="1" thickBot="1" x14ac:dyDescent="0.2">
      <c r="B43" s="33"/>
      <c r="C43" s="34" t="s">
        <v>265</v>
      </c>
      <c r="D43" s="35"/>
      <c r="E43" s="35"/>
      <c r="F43" s="36"/>
      <c r="G43" s="35">
        <f>G11+G37+G42</f>
        <v>83494700</v>
      </c>
      <c r="H43" s="35"/>
      <c r="I43" s="35">
        <f>I11+I37+I42</f>
        <v>78277300</v>
      </c>
      <c r="J43" s="35"/>
      <c r="K43" s="37"/>
      <c r="L43" s="35">
        <f>L11+L37+L42</f>
        <v>78277300</v>
      </c>
      <c r="M43" s="35"/>
      <c r="N43" s="35"/>
      <c r="O43" s="35"/>
      <c r="P43" s="234">
        <f>P11+P37+P42</f>
        <v>7413164.7058823528</v>
      </c>
    </row>
    <row r="44" spans="2:16" ht="11.25" customHeight="1" x14ac:dyDescent="0.15"/>
  </sheetData>
  <mergeCells count="9">
    <mergeCell ref="J3:J4"/>
    <mergeCell ref="B12:B37"/>
    <mergeCell ref="B38:B42"/>
    <mergeCell ref="F2:G2"/>
    <mergeCell ref="B3:B4"/>
    <mergeCell ref="C3:C4"/>
    <mergeCell ref="D3:D4"/>
    <mergeCell ref="E3:F3"/>
    <mergeCell ref="B5:B11"/>
  </mergeCells>
  <phoneticPr fontId="6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71" customWidth="1"/>
    <col min="2" max="2" width="5.875" style="71" customWidth="1"/>
    <col min="3" max="3" width="10.625" style="71" customWidth="1"/>
    <col min="4" max="4" width="12.375" style="71" customWidth="1"/>
    <col min="5" max="5" width="14.625" style="71" customWidth="1"/>
    <col min="6" max="7" width="15.875" style="71" customWidth="1"/>
    <col min="8" max="8" width="10.875" style="71"/>
    <col min="9" max="9" width="11.375" style="71" bestFit="1" customWidth="1"/>
    <col min="10" max="10" width="13.375" style="71" customWidth="1"/>
    <col min="11" max="11" width="7.125" style="71" customWidth="1"/>
    <col min="12" max="12" width="15.375" style="71" customWidth="1"/>
    <col min="13" max="13" width="9.375" style="71" bestFit="1" customWidth="1"/>
    <col min="14" max="14" width="10.875" style="71"/>
    <col min="15" max="15" width="7.25" style="71" customWidth="1"/>
    <col min="16" max="16" width="9.625" style="71" customWidth="1"/>
    <col min="17" max="17" width="10.875" style="71" customWidth="1"/>
    <col min="18" max="18" width="7.5" style="71" customWidth="1"/>
    <col min="19" max="19" width="3.75" style="71" customWidth="1"/>
    <col min="20" max="16384" width="10.875" style="71"/>
  </cols>
  <sheetData>
    <row r="1" spans="2:19" s="72" customFormat="1" ht="9.9499999999999993" customHeight="1" x14ac:dyDescent="0.15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2:19" s="72" customFormat="1" ht="24.95" customHeight="1" thickBot="1" x14ac:dyDescent="0.2">
      <c r="B2" s="3" t="s">
        <v>478</v>
      </c>
      <c r="H2" s="73" t="s">
        <v>133</v>
      </c>
      <c r="I2" s="3" t="s">
        <v>480</v>
      </c>
      <c r="K2" s="73" t="s">
        <v>134</v>
      </c>
      <c r="L2" s="3" t="s">
        <v>479</v>
      </c>
      <c r="N2" s="71"/>
      <c r="O2" s="71"/>
      <c r="Q2" s="4"/>
      <c r="R2" s="4"/>
    </row>
    <row r="3" spans="2:19" s="72" customFormat="1" ht="18" customHeight="1" x14ac:dyDescent="0.15">
      <c r="B3" s="774" t="s">
        <v>13</v>
      </c>
      <c r="C3" s="775"/>
      <c r="D3" s="775"/>
      <c r="E3" s="776"/>
      <c r="F3" s="347" t="s">
        <v>14</v>
      </c>
      <c r="G3" s="75"/>
      <c r="H3" s="76" t="s">
        <v>15</v>
      </c>
      <c r="I3" s="74"/>
      <c r="J3" s="444"/>
      <c r="K3" s="777" t="s">
        <v>111</v>
      </c>
      <c r="L3" s="778"/>
      <c r="M3" s="778"/>
      <c r="N3" s="778"/>
      <c r="O3" s="778"/>
      <c r="P3" s="778"/>
      <c r="Q3" s="778"/>
      <c r="R3" s="778"/>
      <c r="S3" s="779"/>
    </row>
    <row r="4" spans="2:19" s="72" customFormat="1" ht="28.5" customHeight="1" x14ac:dyDescent="0.15">
      <c r="B4" s="786" t="s">
        <v>16</v>
      </c>
      <c r="C4" s="787"/>
      <c r="D4" s="429" t="s">
        <v>400</v>
      </c>
      <c r="E4" s="139"/>
      <c r="F4" s="350">
        <f>ROUND(902314*97*2/3+791453*97*1/3,0)</f>
        <v>83939952</v>
      </c>
      <c r="G4" s="780" t="s">
        <v>429</v>
      </c>
      <c r="H4" s="781"/>
      <c r="I4" s="781"/>
      <c r="J4" s="781"/>
      <c r="K4" s="351" t="s">
        <v>139</v>
      </c>
      <c r="L4" s="352" t="s">
        <v>140</v>
      </c>
      <c r="M4" s="428" t="s">
        <v>17</v>
      </c>
      <c r="N4" s="428" t="s">
        <v>16</v>
      </c>
      <c r="O4" s="352" t="s">
        <v>139</v>
      </c>
      <c r="P4" s="352" t="s">
        <v>141</v>
      </c>
      <c r="Q4" s="428" t="s">
        <v>17</v>
      </c>
      <c r="R4" s="782" t="s">
        <v>16</v>
      </c>
      <c r="S4" s="783"/>
    </row>
    <row r="5" spans="2:19" s="72" customFormat="1" ht="17.25" customHeight="1" x14ac:dyDescent="0.15">
      <c r="B5" s="788"/>
      <c r="C5" s="789"/>
      <c r="D5" s="131" t="s">
        <v>216</v>
      </c>
      <c r="E5" s="139"/>
      <c r="F5" s="134">
        <f>218118*3</f>
        <v>654354</v>
      </c>
      <c r="G5" s="435" t="s">
        <v>436</v>
      </c>
      <c r="H5" s="311"/>
      <c r="I5" s="140"/>
      <c r="J5" s="126"/>
      <c r="K5" s="351"/>
      <c r="L5" s="352"/>
      <c r="M5" s="428"/>
      <c r="N5" s="428"/>
      <c r="O5" s="352"/>
      <c r="P5" s="352"/>
      <c r="Q5" s="428"/>
      <c r="R5" s="784"/>
      <c r="S5" s="785"/>
    </row>
    <row r="6" spans="2:19" s="72" customFormat="1" ht="17.25" customHeight="1" x14ac:dyDescent="0.15">
      <c r="B6" s="788"/>
      <c r="C6" s="789"/>
      <c r="D6" s="131" t="s">
        <v>401</v>
      </c>
      <c r="E6" s="349"/>
      <c r="F6" s="350">
        <f>638*1500</f>
        <v>957000</v>
      </c>
      <c r="G6" s="477" t="s">
        <v>430</v>
      </c>
      <c r="H6" s="430"/>
      <c r="I6" s="126"/>
      <c r="J6" s="126"/>
      <c r="K6" s="351"/>
      <c r="L6" s="352"/>
      <c r="M6" s="428"/>
      <c r="N6" s="350"/>
      <c r="O6" s="352"/>
      <c r="P6" s="352"/>
      <c r="Q6" s="428"/>
      <c r="R6" s="784"/>
      <c r="S6" s="785"/>
    </row>
    <row r="7" spans="2:19" s="72" customFormat="1" ht="18" customHeight="1" x14ac:dyDescent="0.15">
      <c r="B7" s="788"/>
      <c r="C7" s="789"/>
      <c r="D7" s="18" t="s">
        <v>431</v>
      </c>
      <c r="E7" s="139"/>
      <c r="F7" s="350">
        <f>35000*75+13000*45</f>
        <v>3210000</v>
      </c>
      <c r="G7" s="792" t="s">
        <v>445</v>
      </c>
      <c r="H7" s="793"/>
      <c r="I7" s="793"/>
      <c r="J7" s="794"/>
      <c r="K7" s="445"/>
      <c r="L7" s="350"/>
      <c r="M7" s="350"/>
      <c r="N7" s="350"/>
      <c r="O7" s="350"/>
      <c r="P7" s="350"/>
      <c r="Q7" s="350"/>
      <c r="R7" s="784"/>
      <c r="S7" s="785"/>
    </row>
    <row r="8" spans="2:19" s="72" customFormat="1" ht="18" customHeight="1" x14ac:dyDescent="0.15">
      <c r="B8" s="788"/>
      <c r="C8" s="789"/>
      <c r="D8" s="18" t="s">
        <v>333</v>
      </c>
      <c r="E8" s="139"/>
      <c r="F8" s="350">
        <f>+F4*0.004</f>
        <v>335759.80800000002</v>
      </c>
      <c r="G8" s="115" t="s">
        <v>420</v>
      </c>
      <c r="H8" s="430"/>
      <c r="I8" s="126"/>
      <c r="J8" s="126"/>
      <c r="K8" s="138"/>
      <c r="L8" s="439"/>
      <c r="M8" s="350"/>
      <c r="N8" s="350"/>
      <c r="O8" s="350"/>
      <c r="P8" s="350"/>
      <c r="Q8" s="350"/>
      <c r="R8" s="784"/>
      <c r="S8" s="785"/>
    </row>
    <row r="9" spans="2:19" s="72" customFormat="1" ht="18" customHeight="1" x14ac:dyDescent="0.15">
      <c r="B9" s="788"/>
      <c r="C9" s="789"/>
      <c r="D9" s="344" t="s">
        <v>414</v>
      </c>
      <c r="E9" s="139"/>
      <c r="F9" s="350">
        <f>36112*97</f>
        <v>3502864</v>
      </c>
      <c r="G9" s="115" t="s">
        <v>432</v>
      </c>
      <c r="H9" s="430"/>
      <c r="I9" s="126"/>
      <c r="J9" s="126"/>
      <c r="K9" s="136"/>
      <c r="L9" s="137"/>
      <c r="M9" s="350"/>
      <c r="N9" s="350"/>
      <c r="O9" s="350"/>
      <c r="P9" s="350"/>
      <c r="Q9" s="350"/>
      <c r="R9" s="784"/>
      <c r="S9" s="785"/>
    </row>
    <row r="10" spans="2:19" s="72" customFormat="1" ht="18" customHeight="1" x14ac:dyDescent="0.15">
      <c r="B10" s="790"/>
      <c r="C10" s="791"/>
      <c r="D10" s="131" t="s">
        <v>407</v>
      </c>
      <c r="E10" s="139"/>
      <c r="F10" s="134">
        <f>91200+(367800*3)</f>
        <v>1194600</v>
      </c>
      <c r="G10" s="432" t="s">
        <v>412</v>
      </c>
      <c r="H10" s="311"/>
      <c r="I10" s="140"/>
      <c r="J10" s="126"/>
      <c r="K10" s="446"/>
      <c r="L10" s="350"/>
      <c r="M10" s="350"/>
      <c r="N10" s="350"/>
      <c r="O10" s="350"/>
      <c r="P10" s="350"/>
      <c r="Q10" s="350"/>
      <c r="R10" s="784"/>
      <c r="S10" s="785"/>
    </row>
    <row r="11" spans="2:19" s="72" customFormat="1" ht="18" customHeight="1" x14ac:dyDescent="0.15">
      <c r="B11" s="795" t="s">
        <v>109</v>
      </c>
      <c r="C11" s="839" t="s">
        <v>162</v>
      </c>
      <c r="D11" s="134" t="s">
        <v>376</v>
      </c>
      <c r="E11" s="141"/>
      <c r="F11" s="134">
        <f>480116*(100-26)</f>
        <v>35528584</v>
      </c>
      <c r="G11" s="435" t="s">
        <v>433</v>
      </c>
      <c r="H11" s="140"/>
      <c r="I11" s="140"/>
      <c r="J11" s="126"/>
      <c r="K11" s="446"/>
      <c r="L11" s="350"/>
      <c r="M11" s="350"/>
      <c r="N11" s="350"/>
      <c r="O11" s="350"/>
      <c r="P11" s="350"/>
      <c r="Q11" s="350"/>
      <c r="R11" s="784"/>
      <c r="S11" s="785"/>
    </row>
    <row r="12" spans="2:19" s="72" customFormat="1" ht="18" customHeight="1" x14ac:dyDescent="0.15">
      <c r="B12" s="796"/>
      <c r="C12" s="840"/>
      <c r="D12" s="350" t="s">
        <v>416</v>
      </c>
      <c r="E12" s="135"/>
      <c r="F12" s="350">
        <f>+P20</f>
        <v>1619565.4639999999</v>
      </c>
      <c r="G12" s="115"/>
      <c r="H12" s="126"/>
      <c r="I12" s="126"/>
      <c r="J12" s="126"/>
      <c r="K12" s="446"/>
      <c r="L12" s="350"/>
      <c r="M12" s="350"/>
      <c r="N12" s="350"/>
      <c r="O12" s="350"/>
      <c r="P12" s="350"/>
      <c r="Q12" s="350"/>
      <c r="R12" s="784"/>
      <c r="S12" s="785"/>
    </row>
    <row r="13" spans="2:19" s="72" customFormat="1" ht="18" customHeight="1" thickBot="1" x14ac:dyDescent="0.2">
      <c r="B13" s="796"/>
      <c r="C13" s="840"/>
      <c r="D13" s="350" t="s">
        <v>170</v>
      </c>
      <c r="E13" s="135"/>
      <c r="F13" s="350">
        <f>+P30</f>
        <v>29601203</v>
      </c>
      <c r="G13" s="115"/>
      <c r="H13" s="126"/>
      <c r="I13" s="126"/>
      <c r="J13" s="126"/>
      <c r="K13" s="447"/>
      <c r="L13" s="448"/>
      <c r="M13" s="448"/>
      <c r="N13" s="448"/>
      <c r="O13" s="449" t="s">
        <v>18</v>
      </c>
      <c r="P13" s="450">
        <v>0</v>
      </c>
      <c r="Q13" s="451"/>
      <c r="R13" s="825">
        <f>SUM(N7:N13,R7:S12)</f>
        <v>0</v>
      </c>
      <c r="S13" s="826"/>
    </row>
    <row r="14" spans="2:19" s="72" customFormat="1" ht="18" customHeight="1" thickTop="1" x14ac:dyDescent="0.15">
      <c r="B14" s="796"/>
      <c r="C14" s="840"/>
      <c r="D14" s="350" t="s">
        <v>286</v>
      </c>
      <c r="E14" s="135"/>
      <c r="F14" s="350">
        <f>((2000+8000)+(2000+4800)*0.6)*30</f>
        <v>422400</v>
      </c>
      <c r="G14" s="431" t="s">
        <v>421</v>
      </c>
      <c r="H14" s="126"/>
      <c r="I14" s="126"/>
      <c r="J14" s="126"/>
      <c r="K14" s="859" t="s">
        <v>110</v>
      </c>
      <c r="L14" s="133" t="s">
        <v>169</v>
      </c>
      <c r="M14" s="342"/>
      <c r="N14" s="200" t="s">
        <v>143</v>
      </c>
      <c r="O14" s="341" t="s">
        <v>17</v>
      </c>
      <c r="P14" s="341" t="s">
        <v>20</v>
      </c>
      <c r="Q14" s="827" t="s">
        <v>21</v>
      </c>
      <c r="R14" s="828"/>
      <c r="S14" s="829"/>
    </row>
    <row r="15" spans="2:19" s="72" customFormat="1" ht="18" customHeight="1" x14ac:dyDescent="0.15">
      <c r="B15" s="796"/>
      <c r="C15" s="840"/>
      <c r="D15" s="350" t="s">
        <v>287</v>
      </c>
      <c r="E15" s="135"/>
      <c r="F15" s="350">
        <f>1103*30+2859*150</f>
        <v>461940</v>
      </c>
      <c r="G15" s="478" t="s">
        <v>422</v>
      </c>
      <c r="H15" s="126"/>
      <c r="I15" s="126"/>
      <c r="J15" s="126"/>
      <c r="K15" s="860"/>
      <c r="L15" s="186" t="s">
        <v>165</v>
      </c>
      <c r="M15" s="199"/>
      <c r="N15" s="100"/>
      <c r="O15" s="100"/>
      <c r="P15" s="100">
        <f>'８　一貫経営算出基礎'!G7</f>
        <v>301050</v>
      </c>
      <c r="Q15" s="834"/>
      <c r="R15" s="835"/>
      <c r="S15" s="836"/>
    </row>
    <row r="16" spans="2:19" s="72" customFormat="1" ht="18" customHeight="1" x14ac:dyDescent="0.15">
      <c r="B16" s="796"/>
      <c r="C16" s="840"/>
      <c r="D16" s="134" t="s">
        <v>284</v>
      </c>
      <c r="E16" s="141"/>
      <c r="F16" s="134">
        <f>(6610*30)+(5184*150)</f>
        <v>975900</v>
      </c>
      <c r="G16" s="431" t="s">
        <v>402</v>
      </c>
      <c r="H16" s="126"/>
      <c r="I16" s="126"/>
      <c r="J16" s="142"/>
      <c r="K16" s="860"/>
      <c r="L16" s="334" t="s">
        <v>86</v>
      </c>
      <c r="M16" s="132"/>
      <c r="N16" s="100"/>
      <c r="O16" s="100"/>
      <c r="P16" s="127">
        <f>'８　一貫経営算出基礎'!G11</f>
        <v>727500</v>
      </c>
      <c r="Q16" s="834"/>
      <c r="R16" s="835"/>
      <c r="S16" s="836"/>
    </row>
    <row r="17" spans="1:19" s="72" customFormat="1" ht="18" customHeight="1" x14ac:dyDescent="0.15">
      <c r="B17" s="796"/>
      <c r="C17" s="840"/>
      <c r="D17" s="134" t="s">
        <v>49</v>
      </c>
      <c r="E17" s="141"/>
      <c r="F17" s="134">
        <f>(13427*30)+(4463*150)</f>
        <v>1072260</v>
      </c>
      <c r="G17" s="431" t="s">
        <v>403</v>
      </c>
      <c r="H17" s="126"/>
      <c r="I17" s="126"/>
      <c r="J17" s="142"/>
      <c r="K17" s="860"/>
      <c r="L17" s="239" t="s">
        <v>283</v>
      </c>
      <c r="M17" s="240"/>
      <c r="N17" s="239"/>
      <c r="O17" s="239"/>
      <c r="P17" s="127">
        <f>'８　一貫経営算出基礎'!G16</f>
        <v>211675.46400000001</v>
      </c>
      <c r="Q17" s="845"/>
      <c r="R17" s="846"/>
      <c r="S17" s="847"/>
    </row>
    <row r="18" spans="1:19" s="72" customFormat="1" ht="18" customHeight="1" x14ac:dyDescent="0.15">
      <c r="B18" s="796"/>
      <c r="C18" s="840"/>
      <c r="D18" s="134" t="s">
        <v>38</v>
      </c>
      <c r="E18" s="141"/>
      <c r="F18" s="134">
        <f>(8613*30)+(3541*150)</f>
        <v>789540</v>
      </c>
      <c r="G18" s="431" t="s">
        <v>404</v>
      </c>
      <c r="H18" s="126"/>
      <c r="I18" s="126"/>
      <c r="J18" s="142"/>
      <c r="K18" s="860"/>
      <c r="L18" s="235" t="s">
        <v>277</v>
      </c>
      <c r="M18" s="236"/>
      <c r="N18" s="237"/>
      <c r="O18" s="238"/>
      <c r="P18" s="127">
        <f>'８　一貫経営算出基礎'!G20+'８　一貫経営算出基礎'!G23</f>
        <v>379340</v>
      </c>
      <c r="Q18" s="842"/>
      <c r="R18" s="843"/>
      <c r="S18" s="844"/>
    </row>
    <row r="19" spans="1:19" s="72" customFormat="1" ht="18" customHeight="1" x14ac:dyDescent="0.15">
      <c r="B19" s="796"/>
      <c r="C19" s="840"/>
      <c r="D19" s="134" t="s">
        <v>3</v>
      </c>
      <c r="E19" s="141"/>
      <c r="F19" s="134">
        <f>(2851*30)+(538*150)</f>
        <v>166230</v>
      </c>
      <c r="G19" s="431" t="s">
        <v>405</v>
      </c>
      <c r="H19" s="126"/>
      <c r="I19" s="126"/>
      <c r="J19" s="142"/>
      <c r="K19" s="860"/>
      <c r="L19" s="241"/>
      <c r="M19" s="242"/>
      <c r="N19" s="243"/>
      <c r="O19" s="244"/>
      <c r="P19" s="245"/>
      <c r="Q19" s="812"/>
      <c r="R19" s="813"/>
      <c r="S19" s="814"/>
    </row>
    <row r="20" spans="1:19" s="72" customFormat="1" ht="18" customHeight="1" thickBot="1" x14ac:dyDescent="0.2">
      <c r="A20" s="71"/>
      <c r="B20" s="796"/>
      <c r="C20" s="840"/>
      <c r="D20" s="134" t="s">
        <v>4</v>
      </c>
      <c r="E20" s="141"/>
      <c r="F20" s="134">
        <f>(6805*30)+(4347*150)</f>
        <v>856200</v>
      </c>
      <c r="G20" s="431" t="s">
        <v>406</v>
      </c>
      <c r="H20" s="126"/>
      <c r="I20" s="126"/>
      <c r="J20" s="142"/>
      <c r="K20" s="796"/>
      <c r="L20" s="81" t="s">
        <v>22</v>
      </c>
      <c r="M20" s="80"/>
      <c r="N20" s="81"/>
      <c r="O20" s="81"/>
      <c r="P20" s="81">
        <f>SUM(P13:P19)</f>
        <v>1619565.4639999999</v>
      </c>
      <c r="Q20" s="852"/>
      <c r="R20" s="853"/>
      <c r="S20" s="854"/>
    </row>
    <row r="21" spans="1:19" s="72" customFormat="1" ht="18" customHeight="1" thickTop="1" x14ac:dyDescent="0.15">
      <c r="A21" s="71"/>
      <c r="B21" s="796"/>
      <c r="C21" s="840"/>
      <c r="D21" s="830" t="s">
        <v>39</v>
      </c>
      <c r="E21" s="143" t="s">
        <v>99</v>
      </c>
      <c r="F21" s="134">
        <f>'６　固定資本装備と減価償却費 '!L11*0.01</f>
        <v>515940</v>
      </c>
      <c r="G21" s="115" t="s">
        <v>101</v>
      </c>
      <c r="H21" s="497">
        <v>0.01</v>
      </c>
      <c r="I21" s="832" t="s">
        <v>103</v>
      </c>
      <c r="J21" s="833"/>
      <c r="K21" s="796"/>
      <c r="L21" s="247" t="s">
        <v>171</v>
      </c>
      <c r="M21" s="248"/>
      <c r="N21" s="246" t="s">
        <v>19</v>
      </c>
      <c r="O21" s="246" t="s">
        <v>17</v>
      </c>
      <c r="P21" s="246" t="s">
        <v>20</v>
      </c>
      <c r="Q21" s="855" t="s">
        <v>172</v>
      </c>
      <c r="R21" s="813"/>
      <c r="S21" s="814"/>
    </row>
    <row r="22" spans="1:19" s="72" customFormat="1" ht="18" customHeight="1" x14ac:dyDescent="0.15">
      <c r="A22" s="71"/>
      <c r="B22" s="796"/>
      <c r="C22" s="840"/>
      <c r="D22" s="831"/>
      <c r="E22" s="143" t="s">
        <v>100</v>
      </c>
      <c r="F22" s="134">
        <f>'６　固定資本装備と減価償却費 '!L37*0.05</f>
        <v>805415</v>
      </c>
      <c r="G22" s="115" t="s">
        <v>101</v>
      </c>
      <c r="H22" s="497">
        <v>0.05</v>
      </c>
      <c r="I22" s="837" t="s">
        <v>103</v>
      </c>
      <c r="J22" s="838"/>
      <c r="K22" s="860"/>
      <c r="L22" s="127" t="str">
        <f>'８　一貫経営算出基礎'!C28</f>
        <v>良質乾草</v>
      </c>
      <c r="M22" s="126"/>
      <c r="N22" s="115">
        <f>'８　一貫経営算出基礎'!D28</f>
        <v>46985</v>
      </c>
      <c r="O22" s="127">
        <f>'８　一貫経営算出基礎'!F28</f>
        <v>60</v>
      </c>
      <c r="P22" s="127">
        <f>'８　一貫経営算出基礎'!G28</f>
        <v>2819100</v>
      </c>
      <c r="Q22" s="848"/>
      <c r="R22" s="849"/>
      <c r="S22" s="850"/>
    </row>
    <row r="23" spans="1:19" s="72" customFormat="1" ht="18" customHeight="1" x14ac:dyDescent="0.15">
      <c r="A23" s="71"/>
      <c r="B23" s="796"/>
      <c r="C23" s="840"/>
      <c r="D23" s="830" t="s">
        <v>50</v>
      </c>
      <c r="E23" s="143" t="s">
        <v>99</v>
      </c>
      <c r="F23" s="134">
        <f>'６　固定資本装備と減価償却費 '!P11</f>
        <v>3133764.7058823528</v>
      </c>
      <c r="G23" s="115" t="s">
        <v>103</v>
      </c>
      <c r="H23" s="121"/>
      <c r="I23" s="121"/>
      <c r="J23" s="122"/>
      <c r="K23" s="860"/>
      <c r="L23" s="127"/>
      <c r="M23" s="126"/>
      <c r="N23" s="115"/>
      <c r="O23" s="127"/>
      <c r="P23" s="127"/>
      <c r="Q23" s="842"/>
      <c r="R23" s="843"/>
      <c r="S23" s="844"/>
    </row>
    <row r="24" spans="1:19" s="72" customFormat="1" ht="18" customHeight="1" x14ac:dyDescent="0.15">
      <c r="A24" s="71"/>
      <c r="B24" s="796"/>
      <c r="C24" s="840"/>
      <c r="D24" s="851"/>
      <c r="E24" s="143" t="s">
        <v>100</v>
      </c>
      <c r="F24" s="134">
        <f>'６　固定資本装備と減価償却費 '!P37</f>
        <v>2516900</v>
      </c>
      <c r="G24" s="115" t="s">
        <v>103</v>
      </c>
      <c r="H24" s="121"/>
      <c r="I24" s="121"/>
      <c r="J24" s="122"/>
      <c r="K24" s="860"/>
      <c r="L24" s="205" t="str">
        <f>'８　一貫経営算出基礎'!C39</f>
        <v>子牛用配合飼料</v>
      </c>
      <c r="M24" s="126"/>
      <c r="N24" s="115">
        <f>'８　一貫経営算出基礎'!D39</f>
        <v>20430</v>
      </c>
      <c r="O24" s="127">
        <f>'８　一貫経営算出基礎'!F39</f>
        <v>71.3</v>
      </c>
      <c r="P24" s="127">
        <f>'８　一貫経営算出基礎'!G39</f>
        <v>1456659</v>
      </c>
      <c r="Q24" s="845"/>
      <c r="R24" s="846"/>
      <c r="S24" s="847"/>
    </row>
    <row r="25" spans="1:19" s="72" customFormat="1" ht="18" customHeight="1" x14ac:dyDescent="0.15">
      <c r="A25" s="71"/>
      <c r="B25" s="796"/>
      <c r="C25" s="840"/>
      <c r="D25" s="831"/>
      <c r="E25" s="134" t="s">
        <v>179</v>
      </c>
      <c r="F25" s="134">
        <f>'６　固定資本装備と減価償却費 '!P42</f>
        <v>1762500</v>
      </c>
      <c r="G25" s="115" t="s">
        <v>103</v>
      </c>
      <c r="H25" s="121"/>
      <c r="I25" s="121"/>
      <c r="J25" s="122"/>
      <c r="K25" s="860"/>
      <c r="L25" s="205" t="str">
        <f>'８　一貫経営算出基礎'!C40</f>
        <v>繁殖牛用配合飼料</v>
      </c>
      <c r="M25" s="126"/>
      <c r="N25" s="115">
        <f>'８　一貫経営算出基礎'!D40</f>
        <v>20915</v>
      </c>
      <c r="O25" s="127">
        <f>'８　一貫経営算出基礎'!F40</f>
        <v>65.099999999999994</v>
      </c>
      <c r="P25" s="127">
        <f>'８　一貫経営算出基礎'!G40</f>
        <v>1361566</v>
      </c>
      <c r="Q25" s="842"/>
      <c r="R25" s="843"/>
      <c r="S25" s="844"/>
    </row>
    <row r="26" spans="1:19" s="72" customFormat="1" ht="18" customHeight="1" x14ac:dyDescent="0.15">
      <c r="A26" s="71"/>
      <c r="B26" s="796"/>
      <c r="C26" s="840"/>
      <c r="D26" s="134" t="s">
        <v>40</v>
      </c>
      <c r="E26" s="141"/>
      <c r="F26" s="134">
        <f>3000*65</f>
        <v>195000</v>
      </c>
      <c r="G26" s="115" t="s">
        <v>289</v>
      </c>
      <c r="H26" s="121"/>
      <c r="I26" s="324" t="s">
        <v>413</v>
      </c>
      <c r="J26" s="122"/>
      <c r="K26" s="860"/>
      <c r="L26" s="205" t="str">
        <f>'８　一貫経営算出基礎'!C41</f>
        <v>育成牛用配合飼料</v>
      </c>
      <c r="M26" s="126"/>
      <c r="N26" s="115">
        <f>'８　一貫経営算出基礎'!D41</f>
        <v>3285</v>
      </c>
      <c r="O26" s="127">
        <f>'８　一貫経営算出基礎'!F41</f>
        <v>60.88</v>
      </c>
      <c r="P26" s="127">
        <f>'８　一貫経営算出基礎'!G41</f>
        <v>199990</v>
      </c>
      <c r="Q26" s="812"/>
      <c r="R26" s="813"/>
      <c r="S26" s="814"/>
    </row>
    <row r="27" spans="1:19" s="72" customFormat="1" ht="18" customHeight="1" x14ac:dyDescent="0.15">
      <c r="A27" s="71"/>
      <c r="B27" s="796"/>
      <c r="C27" s="840"/>
      <c r="D27" s="815" t="s">
        <v>417</v>
      </c>
      <c r="E27" s="816"/>
      <c r="F27" s="443">
        <f>-15000*12*3*23.5/12</f>
        <v>-1057500</v>
      </c>
      <c r="G27" s="144" t="s">
        <v>434</v>
      </c>
      <c r="H27" s="440"/>
      <c r="I27" s="441"/>
      <c r="J27" s="442"/>
      <c r="K27" s="860"/>
      <c r="L27" s="205" t="str">
        <f>'８　一貫経営算出基礎'!C42</f>
        <v>肥育前期配合飼料</v>
      </c>
      <c r="M27" s="126"/>
      <c r="N27" s="115">
        <f>'８　一貫経営算出基礎'!D42</f>
        <v>88092</v>
      </c>
      <c r="O27" s="127">
        <f>'８　一貫経営算出基礎'!F42</f>
        <v>64</v>
      </c>
      <c r="P27" s="127">
        <f>'８　一貫経営算出基礎'!G42</f>
        <v>5637888</v>
      </c>
      <c r="Q27" s="812"/>
      <c r="R27" s="813"/>
      <c r="S27" s="814"/>
    </row>
    <row r="28" spans="1:19" s="72" customFormat="1" ht="18" customHeight="1" x14ac:dyDescent="0.15">
      <c r="A28" s="71"/>
      <c r="B28" s="796"/>
      <c r="C28" s="840"/>
      <c r="D28" s="134" t="s">
        <v>85</v>
      </c>
      <c r="E28" s="141"/>
      <c r="F28" s="134">
        <f>SUM(F11:F27)/99</f>
        <v>801675.17343315517</v>
      </c>
      <c r="G28" s="144" t="s">
        <v>112</v>
      </c>
      <c r="H28" s="153">
        <v>0.01</v>
      </c>
      <c r="I28" s="338"/>
      <c r="J28" s="6"/>
      <c r="K28" s="860"/>
      <c r="L28" s="205" t="str">
        <f>'８　一貫経営算出基礎'!C43</f>
        <v>肥育後期配合飼料</v>
      </c>
      <c r="M28" s="249"/>
      <c r="N28" s="250">
        <f>'８　一貫経営算出基礎'!D43</f>
        <v>302100</v>
      </c>
      <c r="O28" s="250">
        <f>'８　一貫経営算出基礎'!F43</f>
        <v>60</v>
      </c>
      <c r="P28" s="434">
        <f>'８　一貫経営算出基礎'!G43</f>
        <v>18126000</v>
      </c>
      <c r="Q28" s="812"/>
      <c r="R28" s="813"/>
      <c r="S28" s="814"/>
    </row>
    <row r="29" spans="1:19" s="72" customFormat="1" ht="18" customHeight="1" x14ac:dyDescent="0.15">
      <c r="A29" s="71"/>
      <c r="B29" s="796"/>
      <c r="C29" s="841"/>
      <c r="D29" s="801" t="s">
        <v>107</v>
      </c>
      <c r="E29" s="802"/>
      <c r="F29" s="98">
        <f>SUM(F11:F28)</f>
        <v>80167517.343315512</v>
      </c>
      <c r="G29" s="123"/>
      <c r="H29" s="338"/>
      <c r="I29" s="338"/>
      <c r="J29" s="339"/>
      <c r="K29" s="860"/>
      <c r="L29" s="253"/>
      <c r="M29" s="251"/>
      <c r="N29" s="252"/>
      <c r="O29" s="252"/>
      <c r="P29" s="127"/>
      <c r="Q29" s="812"/>
      <c r="R29" s="813"/>
      <c r="S29" s="814"/>
    </row>
    <row r="30" spans="1:19" s="72" customFormat="1" ht="18" customHeight="1" thickBot="1" x14ac:dyDescent="0.2">
      <c r="A30" s="71"/>
      <c r="B30" s="796"/>
      <c r="C30" s="798" t="s">
        <v>102</v>
      </c>
      <c r="D30" s="817" t="s">
        <v>41</v>
      </c>
      <c r="E30" s="18" t="s">
        <v>377</v>
      </c>
      <c r="F30" s="77">
        <f>6158*97</f>
        <v>597326</v>
      </c>
      <c r="G30" s="433" t="s">
        <v>435</v>
      </c>
      <c r="H30" s="126"/>
      <c r="I30" s="78"/>
      <c r="J30" s="142"/>
      <c r="K30" s="860"/>
      <c r="L30" s="81" t="s">
        <v>22</v>
      </c>
      <c r="M30" s="80"/>
      <c r="N30" s="81"/>
      <c r="O30" s="81"/>
      <c r="P30" s="81">
        <f>SUM(P22:P29)</f>
        <v>29601203</v>
      </c>
      <c r="Q30" s="856"/>
      <c r="R30" s="857"/>
      <c r="S30" s="858"/>
    </row>
    <row r="31" spans="1:19" s="72" customFormat="1" ht="18" customHeight="1" thickTop="1" x14ac:dyDescent="0.15">
      <c r="A31" s="71"/>
      <c r="B31" s="796"/>
      <c r="C31" s="799"/>
      <c r="D31" s="818"/>
      <c r="E31" s="18" t="s">
        <v>1</v>
      </c>
      <c r="F31" s="152">
        <f>5000*174</f>
        <v>870000</v>
      </c>
      <c r="G31" s="433" t="s">
        <v>437</v>
      </c>
      <c r="H31" s="145"/>
      <c r="I31" s="145"/>
      <c r="J31" s="487"/>
      <c r="K31" s="860"/>
      <c r="L31" s="115" t="s">
        <v>84</v>
      </c>
      <c r="M31" s="126"/>
      <c r="N31" s="343" t="s">
        <v>19</v>
      </c>
      <c r="O31" s="343" t="s">
        <v>17</v>
      </c>
      <c r="P31" s="343" t="s">
        <v>20</v>
      </c>
      <c r="Q31" s="806" t="s">
        <v>172</v>
      </c>
      <c r="R31" s="807"/>
      <c r="S31" s="808"/>
    </row>
    <row r="32" spans="1:19" s="72" customFormat="1" ht="18" customHeight="1" x14ac:dyDescent="0.15">
      <c r="A32" s="71"/>
      <c r="B32" s="796"/>
      <c r="C32" s="799"/>
      <c r="D32" s="819"/>
      <c r="E32" s="18" t="s">
        <v>5</v>
      </c>
      <c r="F32" s="77">
        <f>+(F4+F5)*0.035</f>
        <v>2960800.7100000004</v>
      </c>
      <c r="G32" s="344" t="s">
        <v>442</v>
      </c>
      <c r="H32" s="336"/>
      <c r="I32" s="145"/>
      <c r="J32" s="337"/>
      <c r="K32" s="860"/>
      <c r="L32" s="127"/>
      <c r="M32" s="128"/>
      <c r="N32" s="115"/>
      <c r="O32" s="129"/>
      <c r="P32" s="127"/>
      <c r="Q32" s="809"/>
      <c r="R32" s="810"/>
      <c r="S32" s="811"/>
    </row>
    <row r="33" spans="1:23" s="72" customFormat="1" ht="18" customHeight="1" x14ac:dyDescent="0.15">
      <c r="A33" s="71"/>
      <c r="B33" s="796"/>
      <c r="C33" s="799"/>
      <c r="D33" s="18" t="s">
        <v>145</v>
      </c>
      <c r="E33" s="25"/>
      <c r="F33" s="99">
        <f>3000*12</f>
        <v>36000</v>
      </c>
      <c r="G33" s="131" t="s">
        <v>418</v>
      </c>
      <c r="H33" s="147"/>
      <c r="I33" s="148"/>
      <c r="J33" s="146"/>
      <c r="K33" s="860"/>
      <c r="L33" s="127"/>
      <c r="M33" s="128"/>
      <c r="N33" s="115"/>
      <c r="O33" s="129"/>
      <c r="P33" s="127"/>
      <c r="Q33" s="820"/>
      <c r="R33" s="821"/>
      <c r="S33" s="822"/>
    </row>
    <row r="34" spans="1:23" s="72" customFormat="1" ht="18" customHeight="1" x14ac:dyDescent="0.15">
      <c r="A34" s="71"/>
      <c r="B34" s="796"/>
      <c r="C34" s="799"/>
      <c r="D34" s="18" t="s">
        <v>51</v>
      </c>
      <c r="E34" s="25"/>
      <c r="F34" s="99">
        <f>3000*12</f>
        <v>36000</v>
      </c>
      <c r="G34" s="131" t="s">
        <v>418</v>
      </c>
      <c r="H34" s="149"/>
      <c r="I34" s="150"/>
      <c r="J34" s="151"/>
      <c r="K34" s="860"/>
      <c r="L34" s="127"/>
      <c r="M34" s="126"/>
      <c r="N34" s="129"/>
      <c r="O34" s="129"/>
      <c r="P34" s="127"/>
      <c r="Q34" s="820"/>
      <c r="R34" s="821"/>
      <c r="S34" s="822"/>
    </row>
    <row r="35" spans="1:23" s="72" customFormat="1" ht="18" customHeight="1" x14ac:dyDescent="0.15">
      <c r="A35" s="71"/>
      <c r="B35" s="796"/>
      <c r="C35" s="799"/>
      <c r="D35" s="18" t="s">
        <v>68</v>
      </c>
      <c r="E35" s="19"/>
      <c r="F35" s="99">
        <f>'８　一貫経営算出基礎'!V44</f>
        <v>1770430</v>
      </c>
      <c r="G35" s="344"/>
      <c r="H35" s="169"/>
      <c r="I35" s="169"/>
      <c r="J35" s="170"/>
      <c r="K35" s="860"/>
      <c r="L35" s="127"/>
      <c r="M35" s="128"/>
      <c r="N35" s="115"/>
      <c r="O35" s="129"/>
      <c r="P35" s="127"/>
      <c r="Q35" s="335"/>
      <c r="R35" s="130"/>
      <c r="S35" s="82"/>
    </row>
    <row r="36" spans="1:23" ht="18" customHeight="1" x14ac:dyDescent="0.15">
      <c r="B36" s="796"/>
      <c r="C36" s="799"/>
      <c r="D36" s="26" t="s">
        <v>52</v>
      </c>
      <c r="E36" s="27"/>
      <c r="F36" s="152">
        <v>0</v>
      </c>
      <c r="G36" s="115"/>
      <c r="H36" s="149"/>
      <c r="I36" s="150"/>
      <c r="J36" s="146"/>
      <c r="K36" s="860"/>
      <c r="L36" s="127"/>
      <c r="M36" s="128"/>
      <c r="N36" s="115"/>
      <c r="O36" s="129"/>
      <c r="P36" s="127"/>
      <c r="Q36" s="812"/>
      <c r="R36" s="813"/>
      <c r="S36" s="814"/>
    </row>
    <row r="37" spans="1:23" ht="18" customHeight="1" x14ac:dyDescent="0.15">
      <c r="B37" s="796"/>
      <c r="C37" s="799"/>
      <c r="D37" s="18" t="s">
        <v>42</v>
      </c>
      <c r="E37" s="19"/>
      <c r="F37" s="99">
        <f>'８　一貫経営算出基礎'!N57</f>
        <v>123267.40000000001</v>
      </c>
      <c r="G37" s="344"/>
      <c r="H37" s="169"/>
      <c r="I37" s="169"/>
      <c r="J37" s="170"/>
      <c r="K37" s="860"/>
      <c r="L37" s="127"/>
      <c r="M37" s="128"/>
      <c r="N37" s="115"/>
      <c r="O37" s="129"/>
      <c r="P37" s="127"/>
      <c r="Q37" s="812"/>
      <c r="R37" s="813"/>
      <c r="S37" s="814"/>
    </row>
    <row r="38" spans="1:23" ht="18" customHeight="1" x14ac:dyDescent="0.15">
      <c r="B38" s="796"/>
      <c r="C38" s="799"/>
      <c r="D38" s="18" t="s">
        <v>288</v>
      </c>
      <c r="E38" s="19"/>
      <c r="F38" s="312">
        <f>(F4+F5+F6)*100/108*0.024</f>
        <v>1901140.1333333333</v>
      </c>
      <c r="G38" s="115" t="s">
        <v>441</v>
      </c>
      <c r="H38" s="169"/>
      <c r="I38" s="135"/>
      <c r="J38" s="170"/>
      <c r="K38" s="860"/>
      <c r="L38" s="127"/>
      <c r="M38" s="126"/>
      <c r="N38" s="115"/>
      <c r="O38" s="129"/>
      <c r="P38" s="127"/>
      <c r="Q38" s="203"/>
      <c r="R38" s="340"/>
      <c r="S38" s="204"/>
    </row>
    <row r="39" spans="1:23" ht="18" customHeight="1" x14ac:dyDescent="0.15">
      <c r="B39" s="796"/>
      <c r="C39" s="799"/>
      <c r="D39" s="18" t="s">
        <v>146</v>
      </c>
      <c r="E39" s="25"/>
      <c r="F39" s="99">
        <f>SUM(F30:F38)/99</f>
        <v>83787.51760942761</v>
      </c>
      <c r="G39" s="230" t="s">
        <v>163</v>
      </c>
      <c r="H39" s="153">
        <v>0.01</v>
      </c>
      <c r="I39" s="125"/>
      <c r="J39" s="124"/>
      <c r="K39" s="860"/>
      <c r="L39" s="127"/>
      <c r="M39" s="126"/>
      <c r="N39" s="115"/>
      <c r="O39" s="129"/>
      <c r="P39" s="127"/>
      <c r="Q39" s="812"/>
      <c r="R39" s="813"/>
      <c r="S39" s="814"/>
    </row>
    <row r="40" spans="1:23" ht="18" customHeight="1" thickBot="1" x14ac:dyDescent="0.2">
      <c r="B40" s="797"/>
      <c r="C40" s="800"/>
      <c r="D40" s="823" t="s">
        <v>106</v>
      </c>
      <c r="E40" s="824"/>
      <c r="F40" s="116">
        <f>SUM(F30:F39)</f>
        <v>8378751.7609427618</v>
      </c>
      <c r="G40" s="117"/>
      <c r="H40" s="118"/>
      <c r="I40" s="119"/>
      <c r="J40" s="120"/>
      <c r="K40" s="861"/>
      <c r="L40" s="90" t="s">
        <v>22</v>
      </c>
      <c r="M40" s="89"/>
      <c r="N40" s="90"/>
      <c r="O40" s="90"/>
      <c r="P40" s="90">
        <f>SUM(P33:P39)</f>
        <v>0</v>
      </c>
      <c r="Q40" s="803"/>
      <c r="R40" s="804"/>
      <c r="S40" s="805"/>
    </row>
    <row r="41" spans="1:23" s="83" customFormat="1" ht="18" customHeight="1" x14ac:dyDescent="0.15">
      <c r="A41" s="71"/>
      <c r="B41" s="88"/>
      <c r="C41" s="84"/>
      <c r="D41" s="84"/>
      <c r="E41" s="84"/>
      <c r="F41" s="84"/>
      <c r="G41" s="84"/>
      <c r="H41" s="84"/>
      <c r="I41" s="84"/>
      <c r="J41" s="84"/>
    </row>
    <row r="42" spans="1:23" s="83" customFormat="1" ht="18" customHeight="1" x14ac:dyDescent="0.15">
      <c r="A42" s="71"/>
      <c r="B42" s="79"/>
      <c r="C42" s="94"/>
      <c r="D42" s="79"/>
      <c r="E42" s="79"/>
      <c r="F42" s="92"/>
      <c r="G42" s="92"/>
      <c r="H42" s="93"/>
      <c r="I42" s="84"/>
      <c r="J42" s="84"/>
      <c r="T42" s="84"/>
    </row>
    <row r="43" spans="1:23" s="83" customFormat="1" ht="18" customHeight="1" x14ac:dyDescent="0.15">
      <c r="A43" s="71"/>
      <c r="B43" s="71"/>
      <c r="C43" s="71"/>
      <c r="T43" s="72"/>
      <c r="U43" s="72"/>
      <c r="V43" s="72"/>
      <c r="W43" s="72"/>
    </row>
    <row r="44" spans="1:23" s="83" customFormat="1" ht="18" customHeight="1" x14ac:dyDescent="0.15">
      <c r="A44" s="71"/>
      <c r="B44" s="71"/>
      <c r="C44" s="71"/>
      <c r="D44" s="71"/>
      <c r="E44" s="71"/>
      <c r="F44" s="71"/>
      <c r="G44" s="71"/>
      <c r="H44" s="71"/>
      <c r="I44" s="71"/>
      <c r="J44" s="71"/>
      <c r="T44" s="85"/>
      <c r="U44" s="86"/>
      <c r="V44" s="87"/>
      <c r="W44" s="85"/>
    </row>
    <row r="45" spans="1:23" s="83" customFormat="1" ht="18" customHeight="1" x14ac:dyDescent="0.15">
      <c r="A45" s="71"/>
      <c r="B45" s="71"/>
      <c r="C45" s="71"/>
      <c r="D45" s="71"/>
      <c r="E45" s="71"/>
      <c r="F45" s="71"/>
      <c r="G45" s="71"/>
      <c r="H45" s="71"/>
      <c r="I45" s="71"/>
      <c r="J45" s="71"/>
      <c r="T45" s="72"/>
      <c r="U45" s="72"/>
      <c r="V45" s="72"/>
      <c r="W45" s="72"/>
    </row>
    <row r="46" spans="1:23" s="83" customFormat="1" ht="18" customHeight="1" x14ac:dyDescent="0.15">
      <c r="B46" s="71"/>
      <c r="C46" s="71"/>
      <c r="D46" s="71"/>
      <c r="E46" s="71"/>
      <c r="F46" s="71"/>
      <c r="G46" s="71"/>
      <c r="H46" s="71"/>
      <c r="I46" s="71"/>
      <c r="J46" s="71"/>
      <c r="T46" s="73"/>
      <c r="U46" s="84"/>
      <c r="V46" s="72"/>
      <c r="W46" s="85"/>
    </row>
    <row r="47" spans="1:23" s="83" customFormat="1" ht="18" customHeight="1" x14ac:dyDescent="0.15">
      <c r="B47" s="71"/>
      <c r="C47" s="71"/>
      <c r="D47" s="71"/>
      <c r="E47" s="71"/>
      <c r="F47" s="71"/>
      <c r="G47" s="71"/>
      <c r="H47" s="71"/>
      <c r="I47" s="71"/>
      <c r="J47" s="71"/>
      <c r="T47" s="73"/>
      <c r="U47" s="84"/>
      <c r="V47" s="72"/>
      <c r="W47" s="85"/>
    </row>
    <row r="48" spans="1:23" s="83" customFormat="1" ht="18" customHeight="1" x14ac:dyDescent="0.15">
      <c r="B48" s="71"/>
      <c r="C48" s="71"/>
      <c r="D48" s="71"/>
      <c r="E48" s="71"/>
      <c r="F48" s="71"/>
      <c r="G48" s="71"/>
      <c r="H48" s="71"/>
      <c r="I48" s="71"/>
      <c r="J48" s="71"/>
      <c r="T48" s="72"/>
      <c r="U48" s="72"/>
      <c r="V48" s="86"/>
      <c r="W48" s="72"/>
    </row>
    <row r="49" spans="2:23" s="83" customFormat="1" x14ac:dyDescent="0.15">
      <c r="B49" s="71"/>
      <c r="C49" s="71"/>
      <c r="D49" s="71"/>
      <c r="E49" s="71"/>
      <c r="F49" s="71"/>
      <c r="G49" s="71"/>
      <c r="H49" s="71"/>
      <c r="I49" s="71"/>
      <c r="J49" s="71"/>
      <c r="T49" s="73"/>
      <c r="U49" s="72"/>
      <c r="V49" s="72"/>
      <c r="W49" s="85"/>
    </row>
    <row r="50" spans="2:23" s="83" customFormat="1" x14ac:dyDescent="0.15">
      <c r="B50" s="71"/>
      <c r="C50" s="71"/>
      <c r="D50" s="71"/>
      <c r="E50" s="71"/>
      <c r="F50" s="71"/>
      <c r="G50" s="71"/>
      <c r="H50" s="71"/>
      <c r="I50" s="71"/>
      <c r="J50" s="71"/>
      <c r="T50" s="73"/>
      <c r="U50" s="72"/>
      <c r="V50" s="72"/>
      <c r="W50" s="85"/>
    </row>
    <row r="51" spans="2:23" s="83" customFormat="1" x14ac:dyDescent="0.15">
      <c r="B51" s="71"/>
      <c r="C51" s="71"/>
      <c r="D51" s="71"/>
      <c r="E51" s="71"/>
      <c r="F51" s="71"/>
      <c r="G51" s="71"/>
      <c r="H51" s="71"/>
      <c r="I51" s="71"/>
      <c r="J51" s="71"/>
      <c r="T51" s="73"/>
      <c r="U51" s="72"/>
      <c r="V51" s="72"/>
      <c r="W51" s="85"/>
    </row>
    <row r="52" spans="2:23" s="83" customFormat="1" x14ac:dyDescent="0.15">
      <c r="B52" s="71"/>
      <c r="C52" s="71"/>
      <c r="D52" s="71"/>
      <c r="E52" s="71"/>
      <c r="F52" s="71"/>
      <c r="G52" s="71"/>
      <c r="H52" s="71"/>
      <c r="I52" s="71"/>
      <c r="J52" s="71"/>
      <c r="T52" s="73"/>
      <c r="U52" s="72"/>
      <c r="V52" s="72"/>
      <c r="W52" s="85"/>
    </row>
    <row r="53" spans="2:23" s="83" customFormat="1" x14ac:dyDescent="0.15">
      <c r="B53" s="71"/>
      <c r="C53" s="71"/>
      <c r="D53" s="71"/>
      <c r="E53" s="71"/>
      <c r="F53" s="71"/>
      <c r="G53" s="71"/>
      <c r="H53" s="71"/>
      <c r="I53" s="71"/>
      <c r="J53" s="71"/>
      <c r="T53" s="73"/>
      <c r="U53" s="73"/>
      <c r="V53" s="73"/>
      <c r="W53" s="72"/>
    </row>
    <row r="54" spans="2:23" s="83" customFormat="1" ht="13.5" customHeight="1" x14ac:dyDescent="0.15">
      <c r="B54" s="71"/>
      <c r="C54" s="71"/>
      <c r="D54" s="71"/>
      <c r="E54" s="71"/>
      <c r="F54" s="71"/>
      <c r="G54" s="71"/>
      <c r="H54" s="71"/>
      <c r="I54" s="71"/>
      <c r="J54" s="71"/>
      <c r="T54" s="72"/>
      <c r="U54" s="72"/>
      <c r="V54" s="72"/>
      <c r="W54" s="86"/>
    </row>
    <row r="55" spans="2:23" s="83" customFormat="1" x14ac:dyDescent="0.15">
      <c r="B55" s="71"/>
      <c r="C55" s="71"/>
      <c r="D55" s="71"/>
      <c r="E55" s="71"/>
      <c r="F55" s="71"/>
      <c r="G55" s="71"/>
      <c r="H55" s="71"/>
      <c r="I55" s="71"/>
      <c r="J55" s="71"/>
      <c r="T55" s="85"/>
      <c r="U55" s="72"/>
      <c r="V55" s="86"/>
      <c r="W55" s="85"/>
    </row>
    <row r="56" spans="2:23" s="83" customFormat="1" x14ac:dyDescent="0.15">
      <c r="B56" s="71"/>
      <c r="C56" s="71"/>
      <c r="D56" s="71"/>
      <c r="E56" s="71"/>
      <c r="F56" s="71"/>
      <c r="G56" s="71"/>
      <c r="H56" s="71"/>
      <c r="I56" s="71"/>
      <c r="J56" s="71"/>
      <c r="T56" s="72"/>
      <c r="U56" s="72"/>
      <c r="V56" s="72"/>
      <c r="W56" s="72"/>
    </row>
    <row r="57" spans="2:23" s="83" customFormat="1" ht="13.5" customHeight="1" x14ac:dyDescent="0.15">
      <c r="B57" s="71"/>
      <c r="C57" s="71"/>
      <c r="D57" s="71"/>
      <c r="E57" s="71"/>
      <c r="F57" s="71"/>
      <c r="G57" s="71"/>
      <c r="H57" s="71"/>
      <c r="I57" s="71"/>
      <c r="J57" s="71"/>
      <c r="T57" s="73"/>
      <c r="U57" s="72"/>
      <c r="V57" s="73"/>
      <c r="W57" s="85"/>
    </row>
    <row r="58" spans="2:23" s="83" customFormat="1" x14ac:dyDescent="0.15">
      <c r="B58" s="71"/>
      <c r="C58" s="71"/>
      <c r="D58" s="71"/>
      <c r="E58" s="71"/>
      <c r="F58" s="71"/>
      <c r="G58" s="71"/>
      <c r="H58" s="71"/>
      <c r="I58" s="71"/>
      <c r="J58" s="71"/>
      <c r="T58" s="95"/>
      <c r="U58" s="72"/>
      <c r="V58" s="72"/>
      <c r="W58" s="85"/>
    </row>
    <row r="59" spans="2:23" s="83" customFormat="1" x14ac:dyDescent="0.1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73"/>
      <c r="V59" s="72"/>
      <c r="W59" s="72"/>
    </row>
    <row r="60" spans="2:23" s="83" customFormat="1" x14ac:dyDescent="0.1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84"/>
      <c r="U60" s="84"/>
      <c r="V60" s="84"/>
      <c r="W60" s="84"/>
    </row>
    <row r="61" spans="2:23" s="83" customFormat="1" x14ac:dyDescent="0.1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84"/>
    </row>
    <row r="62" spans="2:23" s="83" customFormat="1" x14ac:dyDescent="0.1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84"/>
    </row>
    <row r="63" spans="2:23" s="83" customFormat="1" x14ac:dyDescent="0.1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84"/>
    </row>
    <row r="64" spans="2:23" s="83" customFormat="1" x14ac:dyDescent="0.1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2:19" s="83" customFormat="1" x14ac:dyDescent="0.15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2:19" s="83" customFormat="1" ht="13.5" customHeight="1" x14ac:dyDescent="0.15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2:19" s="83" customFormat="1" ht="13.5" customHeight="1" x14ac:dyDescent="0.15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2:19" s="83" customFormat="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2:19" s="83" customFormat="1" x14ac:dyDescent="0.15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2:19" s="83" customFormat="1" x14ac:dyDescent="0.15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2:19" s="83" customFormat="1" ht="13.5" customHeight="1" x14ac:dyDescent="0.15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2:19" s="83" customFormat="1" x14ac:dyDescent="0.15"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2:19" s="83" customFormat="1" x14ac:dyDescent="0.15"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2:19" s="83" customFormat="1" x14ac:dyDescent="0.15"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2:19" s="83" customFormat="1" x14ac:dyDescent="0.15"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2:19" s="83" customFormat="1" x14ac:dyDescent="0.15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2:19" s="83" customFormat="1" ht="13.5" customHeight="1" x14ac:dyDescent="0.15"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2:19" s="83" customFormat="1" x14ac:dyDescent="0.15"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2:19" s="83" customFormat="1" x14ac:dyDescent="0.15"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2:19" s="83" customFormat="1" x14ac:dyDescent="0.15"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2:19" s="83" customFormat="1" x14ac:dyDescent="0.15"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2:19" s="83" customFormat="1" x14ac:dyDescent="0.15"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2:19" s="83" customFormat="1" x14ac:dyDescent="0.15"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2:19" s="83" customFormat="1" x14ac:dyDescent="0.15"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2:19" s="83" customFormat="1" x14ac:dyDescent="0.15"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2:19" s="83" customFormat="1" x14ac:dyDescent="0.15"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2:19" s="83" customFormat="1" x14ac:dyDescent="0.15"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2:19" s="83" customFormat="1" x14ac:dyDescent="0.15"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2:19" s="83" customFormat="1" ht="13.5" customHeight="1" x14ac:dyDescent="0.15"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2:19" s="83" customFormat="1" x14ac:dyDescent="0.15"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2:19" s="83" customFormat="1" x14ac:dyDescent="0.15"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2:19" s="83" customFormat="1" ht="13.5" customHeight="1" x14ac:dyDescent="0.15"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2:19" s="83" customFormat="1" x14ac:dyDescent="0.15"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2:19" s="83" customFormat="1" x14ac:dyDescent="0.15"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2:19" s="83" customFormat="1" x14ac:dyDescent="0.15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</row>
    <row r="96" spans="2:19" s="83" customFormat="1" x14ac:dyDescent="0.15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</row>
    <row r="97" spans="1:19" s="83" customFormat="1" x14ac:dyDescent="0.15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</row>
    <row r="98" spans="1:19" x14ac:dyDescent="0.15">
      <c r="A98" s="83"/>
    </row>
    <row r="99" spans="1:19" x14ac:dyDescent="0.15">
      <c r="A99" s="83"/>
    </row>
    <row r="100" spans="1:19" x14ac:dyDescent="0.15">
      <c r="A100" s="83"/>
    </row>
    <row r="101" spans="1:19" x14ac:dyDescent="0.15">
      <c r="A101" s="83"/>
    </row>
    <row r="102" spans="1:19" x14ac:dyDescent="0.15">
      <c r="A102" s="83"/>
    </row>
  </sheetData>
  <mergeCells count="52">
    <mergeCell ref="C11:C29"/>
    <mergeCell ref="Q37:S37"/>
    <mergeCell ref="Q39:S39"/>
    <mergeCell ref="Q23:S23"/>
    <mergeCell ref="Q24:S24"/>
    <mergeCell ref="Q25:S25"/>
    <mergeCell ref="Q26:S26"/>
    <mergeCell ref="Q22:S22"/>
    <mergeCell ref="D23:D25"/>
    <mergeCell ref="Q17:S17"/>
    <mergeCell ref="Q18:S18"/>
    <mergeCell ref="Q19:S19"/>
    <mergeCell ref="Q20:S20"/>
    <mergeCell ref="Q21:S21"/>
    <mergeCell ref="Q30:S30"/>
    <mergeCell ref="K14:K40"/>
    <mergeCell ref="R13:S13"/>
    <mergeCell ref="Q34:S34"/>
    <mergeCell ref="Q14:S14"/>
    <mergeCell ref="D21:D22"/>
    <mergeCell ref="I21:J21"/>
    <mergeCell ref="Q15:S15"/>
    <mergeCell ref="I22:J22"/>
    <mergeCell ref="Q16:S16"/>
    <mergeCell ref="B11:B40"/>
    <mergeCell ref="C30:C40"/>
    <mergeCell ref="R11:S11"/>
    <mergeCell ref="R12:S12"/>
    <mergeCell ref="D29:E29"/>
    <mergeCell ref="Q40:S40"/>
    <mergeCell ref="Q31:S31"/>
    <mergeCell ref="Q32:S32"/>
    <mergeCell ref="Q36:S36"/>
    <mergeCell ref="D27:E27"/>
    <mergeCell ref="D30:D32"/>
    <mergeCell ref="Q27:S27"/>
    <mergeCell ref="Q28:S28"/>
    <mergeCell ref="Q29:S29"/>
    <mergeCell ref="Q33:S33"/>
    <mergeCell ref="D40:E40"/>
    <mergeCell ref="B3:E3"/>
    <mergeCell ref="K3:S3"/>
    <mergeCell ref="G4:J4"/>
    <mergeCell ref="R4:S4"/>
    <mergeCell ref="R7:S7"/>
    <mergeCell ref="B4:C10"/>
    <mergeCell ref="R8:S8"/>
    <mergeCell ref="R9:S9"/>
    <mergeCell ref="R10:S10"/>
    <mergeCell ref="G7:J7"/>
    <mergeCell ref="R5:S5"/>
    <mergeCell ref="R6:S6"/>
  </mergeCells>
  <phoneticPr fontId="6"/>
  <pageMargins left="0.78740157480314965" right="0.78740157480314965" top="0.78740157480314965" bottom="0.78740157480314965" header="0.39370078740157483" footer="0.39370078740157483"/>
  <pageSetup paperSize="9" scale="6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0" workbookViewId="0"/>
  </sheetViews>
  <sheetFormatPr defaultRowHeight="13.5" x14ac:dyDescent="0.15"/>
  <cols>
    <col min="1" max="1" width="1.625" style="28" customWidth="1"/>
    <col min="2" max="2" width="3.625" style="28" customWidth="1"/>
    <col min="3" max="3" width="15.625" style="28" customWidth="1"/>
    <col min="4" max="7" width="8.625" style="28" customWidth="1"/>
    <col min="8" max="8" width="1.625" style="113" customWidth="1"/>
    <col min="9" max="9" width="3.625" style="28" customWidth="1"/>
    <col min="10" max="10" width="15.625" style="28" customWidth="1"/>
    <col min="11" max="14" width="8.625" style="28" customWidth="1"/>
    <col min="15" max="15" width="3.5" style="28" customWidth="1"/>
    <col min="16" max="16" width="15.625" style="96" customWidth="1"/>
    <col min="17" max="17" width="8.625" style="28" customWidth="1"/>
    <col min="18" max="18" width="8.625" style="29" customWidth="1"/>
    <col min="19" max="21" width="8.625" style="28" customWidth="1"/>
    <col min="22" max="22" width="10.625" style="29" customWidth="1"/>
    <col min="23" max="245" width="9" style="28"/>
    <col min="246" max="246" width="1.375" style="28" customWidth="1"/>
    <col min="247" max="247" width="3.5" style="28" customWidth="1"/>
    <col min="248" max="248" width="22.125" style="28" customWidth="1"/>
    <col min="249" max="249" width="9.75" style="28" customWidth="1"/>
    <col min="250" max="250" width="7.375" style="28" customWidth="1"/>
    <col min="251" max="251" width="9" style="28"/>
    <col min="252" max="252" width="9.25" style="28" customWidth="1"/>
    <col min="253" max="253" width="3.5" style="28" customWidth="1"/>
    <col min="254" max="255" width="12.625" style="28" customWidth="1"/>
    <col min="256" max="256" width="9" style="28"/>
    <col min="257" max="257" width="7.75" style="28" customWidth="1"/>
    <col min="258" max="258" width="13.125" style="28" customWidth="1"/>
    <col min="259" max="259" width="6.125" style="28" customWidth="1"/>
    <col min="260" max="260" width="9.75" style="28" customWidth="1"/>
    <col min="261" max="261" width="1.375" style="28" customWidth="1"/>
    <col min="262" max="501" width="9" style="28"/>
    <col min="502" max="502" width="1.375" style="28" customWidth="1"/>
    <col min="503" max="503" width="3.5" style="28" customWidth="1"/>
    <col min="504" max="504" width="22.125" style="28" customWidth="1"/>
    <col min="505" max="505" width="9.75" style="28" customWidth="1"/>
    <col min="506" max="506" width="7.375" style="28" customWidth="1"/>
    <col min="507" max="507" width="9" style="28"/>
    <col min="508" max="508" width="9.25" style="28" customWidth="1"/>
    <col min="509" max="509" width="3.5" style="28" customWidth="1"/>
    <col min="510" max="511" width="12.625" style="28" customWidth="1"/>
    <col min="512" max="512" width="9" style="28"/>
    <col min="513" max="513" width="7.75" style="28" customWidth="1"/>
    <col min="514" max="514" width="13.125" style="28" customWidth="1"/>
    <col min="515" max="515" width="6.125" style="28" customWidth="1"/>
    <col min="516" max="516" width="9.75" style="28" customWidth="1"/>
    <col min="517" max="517" width="1.375" style="28" customWidth="1"/>
    <col min="518" max="757" width="9" style="28"/>
    <col min="758" max="758" width="1.375" style="28" customWidth="1"/>
    <col min="759" max="759" width="3.5" style="28" customWidth="1"/>
    <col min="760" max="760" width="22.125" style="28" customWidth="1"/>
    <col min="761" max="761" width="9.75" style="28" customWidth="1"/>
    <col min="762" max="762" width="7.375" style="28" customWidth="1"/>
    <col min="763" max="763" width="9" style="28"/>
    <col min="764" max="764" width="9.25" style="28" customWidth="1"/>
    <col min="765" max="765" width="3.5" style="28" customWidth="1"/>
    <col min="766" max="767" width="12.625" style="28" customWidth="1"/>
    <col min="768" max="768" width="9" style="28"/>
    <col min="769" max="769" width="7.75" style="28" customWidth="1"/>
    <col min="770" max="770" width="13.125" style="28" customWidth="1"/>
    <col min="771" max="771" width="6.125" style="28" customWidth="1"/>
    <col min="772" max="772" width="9.75" style="28" customWidth="1"/>
    <col min="773" max="773" width="1.375" style="28" customWidth="1"/>
    <col min="774" max="1013" width="9" style="28"/>
    <col min="1014" max="1014" width="1.375" style="28" customWidth="1"/>
    <col min="1015" max="1015" width="3.5" style="28" customWidth="1"/>
    <col min="1016" max="1016" width="22.125" style="28" customWidth="1"/>
    <col min="1017" max="1017" width="9.75" style="28" customWidth="1"/>
    <col min="1018" max="1018" width="7.375" style="28" customWidth="1"/>
    <col min="1019" max="1019" width="9" style="28"/>
    <col min="1020" max="1020" width="9.25" style="28" customWidth="1"/>
    <col min="1021" max="1021" width="3.5" style="28" customWidth="1"/>
    <col min="1022" max="1023" width="12.625" style="28" customWidth="1"/>
    <col min="1024" max="1024" width="9" style="28"/>
    <col min="1025" max="1025" width="7.75" style="28" customWidth="1"/>
    <col min="1026" max="1026" width="13.125" style="28" customWidth="1"/>
    <col min="1027" max="1027" width="6.125" style="28" customWidth="1"/>
    <col min="1028" max="1028" width="9.75" style="28" customWidth="1"/>
    <col min="1029" max="1029" width="1.375" style="28" customWidth="1"/>
    <col min="1030" max="1269" width="9" style="28"/>
    <col min="1270" max="1270" width="1.375" style="28" customWidth="1"/>
    <col min="1271" max="1271" width="3.5" style="28" customWidth="1"/>
    <col min="1272" max="1272" width="22.125" style="28" customWidth="1"/>
    <col min="1273" max="1273" width="9.75" style="28" customWidth="1"/>
    <col min="1274" max="1274" width="7.375" style="28" customWidth="1"/>
    <col min="1275" max="1275" width="9" style="28"/>
    <col min="1276" max="1276" width="9.25" style="28" customWidth="1"/>
    <col min="1277" max="1277" width="3.5" style="28" customWidth="1"/>
    <col min="1278" max="1279" width="12.625" style="28" customWidth="1"/>
    <col min="1280" max="1280" width="9" style="28"/>
    <col min="1281" max="1281" width="7.75" style="28" customWidth="1"/>
    <col min="1282" max="1282" width="13.125" style="28" customWidth="1"/>
    <col min="1283" max="1283" width="6.125" style="28" customWidth="1"/>
    <col min="1284" max="1284" width="9.75" style="28" customWidth="1"/>
    <col min="1285" max="1285" width="1.375" style="28" customWidth="1"/>
    <col min="1286" max="1525" width="9" style="28"/>
    <col min="1526" max="1526" width="1.375" style="28" customWidth="1"/>
    <col min="1527" max="1527" width="3.5" style="28" customWidth="1"/>
    <col min="1528" max="1528" width="22.125" style="28" customWidth="1"/>
    <col min="1529" max="1529" width="9.75" style="28" customWidth="1"/>
    <col min="1530" max="1530" width="7.375" style="28" customWidth="1"/>
    <col min="1531" max="1531" width="9" style="28"/>
    <col min="1532" max="1532" width="9.25" style="28" customWidth="1"/>
    <col min="1533" max="1533" width="3.5" style="28" customWidth="1"/>
    <col min="1534" max="1535" width="12.625" style="28" customWidth="1"/>
    <col min="1536" max="1536" width="9" style="28"/>
    <col min="1537" max="1537" width="7.75" style="28" customWidth="1"/>
    <col min="1538" max="1538" width="13.125" style="28" customWidth="1"/>
    <col min="1539" max="1539" width="6.125" style="28" customWidth="1"/>
    <col min="1540" max="1540" width="9.75" style="28" customWidth="1"/>
    <col min="1541" max="1541" width="1.375" style="28" customWidth="1"/>
    <col min="1542" max="1781" width="9" style="28"/>
    <col min="1782" max="1782" width="1.375" style="28" customWidth="1"/>
    <col min="1783" max="1783" width="3.5" style="28" customWidth="1"/>
    <col min="1784" max="1784" width="22.125" style="28" customWidth="1"/>
    <col min="1785" max="1785" width="9.75" style="28" customWidth="1"/>
    <col min="1786" max="1786" width="7.375" style="28" customWidth="1"/>
    <col min="1787" max="1787" width="9" style="28"/>
    <col min="1788" max="1788" width="9.25" style="28" customWidth="1"/>
    <col min="1789" max="1789" width="3.5" style="28" customWidth="1"/>
    <col min="1790" max="1791" width="12.625" style="28" customWidth="1"/>
    <col min="1792" max="1792" width="9" style="28"/>
    <col min="1793" max="1793" width="7.75" style="28" customWidth="1"/>
    <col min="1794" max="1794" width="13.125" style="28" customWidth="1"/>
    <col min="1795" max="1795" width="6.125" style="28" customWidth="1"/>
    <col min="1796" max="1796" width="9.75" style="28" customWidth="1"/>
    <col min="1797" max="1797" width="1.375" style="28" customWidth="1"/>
    <col min="1798" max="2037" width="9" style="28"/>
    <col min="2038" max="2038" width="1.375" style="28" customWidth="1"/>
    <col min="2039" max="2039" width="3.5" style="28" customWidth="1"/>
    <col min="2040" max="2040" width="22.125" style="28" customWidth="1"/>
    <col min="2041" max="2041" width="9.75" style="28" customWidth="1"/>
    <col min="2042" max="2042" width="7.375" style="28" customWidth="1"/>
    <col min="2043" max="2043" width="9" style="28"/>
    <col min="2044" max="2044" width="9.25" style="28" customWidth="1"/>
    <col min="2045" max="2045" width="3.5" style="28" customWidth="1"/>
    <col min="2046" max="2047" width="12.625" style="28" customWidth="1"/>
    <col min="2048" max="2048" width="9" style="28"/>
    <col min="2049" max="2049" width="7.75" style="28" customWidth="1"/>
    <col min="2050" max="2050" width="13.125" style="28" customWidth="1"/>
    <col min="2051" max="2051" width="6.125" style="28" customWidth="1"/>
    <col min="2052" max="2052" width="9.75" style="28" customWidth="1"/>
    <col min="2053" max="2053" width="1.375" style="28" customWidth="1"/>
    <col min="2054" max="2293" width="9" style="28"/>
    <col min="2294" max="2294" width="1.375" style="28" customWidth="1"/>
    <col min="2295" max="2295" width="3.5" style="28" customWidth="1"/>
    <col min="2296" max="2296" width="22.125" style="28" customWidth="1"/>
    <col min="2297" max="2297" width="9.75" style="28" customWidth="1"/>
    <col min="2298" max="2298" width="7.375" style="28" customWidth="1"/>
    <col min="2299" max="2299" width="9" style="28"/>
    <col min="2300" max="2300" width="9.25" style="28" customWidth="1"/>
    <col min="2301" max="2301" width="3.5" style="28" customWidth="1"/>
    <col min="2302" max="2303" width="12.625" style="28" customWidth="1"/>
    <col min="2304" max="2304" width="9" style="28"/>
    <col min="2305" max="2305" width="7.75" style="28" customWidth="1"/>
    <col min="2306" max="2306" width="13.125" style="28" customWidth="1"/>
    <col min="2307" max="2307" width="6.125" style="28" customWidth="1"/>
    <col min="2308" max="2308" width="9.75" style="28" customWidth="1"/>
    <col min="2309" max="2309" width="1.375" style="28" customWidth="1"/>
    <col min="2310" max="2549" width="9" style="28"/>
    <col min="2550" max="2550" width="1.375" style="28" customWidth="1"/>
    <col min="2551" max="2551" width="3.5" style="28" customWidth="1"/>
    <col min="2552" max="2552" width="22.125" style="28" customWidth="1"/>
    <col min="2553" max="2553" width="9.75" style="28" customWidth="1"/>
    <col min="2554" max="2554" width="7.375" style="28" customWidth="1"/>
    <col min="2555" max="2555" width="9" style="28"/>
    <col min="2556" max="2556" width="9.25" style="28" customWidth="1"/>
    <col min="2557" max="2557" width="3.5" style="28" customWidth="1"/>
    <col min="2558" max="2559" width="12.625" style="28" customWidth="1"/>
    <col min="2560" max="2560" width="9" style="28"/>
    <col min="2561" max="2561" width="7.75" style="28" customWidth="1"/>
    <col min="2562" max="2562" width="13.125" style="28" customWidth="1"/>
    <col min="2563" max="2563" width="6.125" style="28" customWidth="1"/>
    <col min="2564" max="2564" width="9.75" style="28" customWidth="1"/>
    <col min="2565" max="2565" width="1.375" style="28" customWidth="1"/>
    <col min="2566" max="2805" width="9" style="28"/>
    <col min="2806" max="2806" width="1.375" style="28" customWidth="1"/>
    <col min="2807" max="2807" width="3.5" style="28" customWidth="1"/>
    <col min="2808" max="2808" width="22.125" style="28" customWidth="1"/>
    <col min="2809" max="2809" width="9.75" style="28" customWidth="1"/>
    <col min="2810" max="2810" width="7.375" style="28" customWidth="1"/>
    <col min="2811" max="2811" width="9" style="28"/>
    <col min="2812" max="2812" width="9.25" style="28" customWidth="1"/>
    <col min="2813" max="2813" width="3.5" style="28" customWidth="1"/>
    <col min="2814" max="2815" width="12.625" style="28" customWidth="1"/>
    <col min="2816" max="2816" width="9" style="28"/>
    <col min="2817" max="2817" width="7.75" style="28" customWidth="1"/>
    <col min="2818" max="2818" width="13.125" style="28" customWidth="1"/>
    <col min="2819" max="2819" width="6.125" style="28" customWidth="1"/>
    <col min="2820" max="2820" width="9.75" style="28" customWidth="1"/>
    <col min="2821" max="2821" width="1.375" style="28" customWidth="1"/>
    <col min="2822" max="3061" width="9" style="28"/>
    <col min="3062" max="3062" width="1.375" style="28" customWidth="1"/>
    <col min="3063" max="3063" width="3.5" style="28" customWidth="1"/>
    <col min="3064" max="3064" width="22.125" style="28" customWidth="1"/>
    <col min="3065" max="3065" width="9.75" style="28" customWidth="1"/>
    <col min="3066" max="3066" width="7.375" style="28" customWidth="1"/>
    <col min="3067" max="3067" width="9" style="28"/>
    <col min="3068" max="3068" width="9.25" style="28" customWidth="1"/>
    <col min="3069" max="3069" width="3.5" style="28" customWidth="1"/>
    <col min="3070" max="3071" width="12.625" style="28" customWidth="1"/>
    <col min="3072" max="3072" width="9" style="28"/>
    <col min="3073" max="3073" width="7.75" style="28" customWidth="1"/>
    <col min="3074" max="3074" width="13.125" style="28" customWidth="1"/>
    <col min="3075" max="3075" width="6.125" style="28" customWidth="1"/>
    <col min="3076" max="3076" width="9.75" style="28" customWidth="1"/>
    <col min="3077" max="3077" width="1.375" style="28" customWidth="1"/>
    <col min="3078" max="3317" width="9" style="28"/>
    <col min="3318" max="3318" width="1.375" style="28" customWidth="1"/>
    <col min="3319" max="3319" width="3.5" style="28" customWidth="1"/>
    <col min="3320" max="3320" width="22.125" style="28" customWidth="1"/>
    <col min="3321" max="3321" width="9.75" style="28" customWidth="1"/>
    <col min="3322" max="3322" width="7.375" style="28" customWidth="1"/>
    <col min="3323" max="3323" width="9" style="28"/>
    <col min="3324" max="3324" width="9.25" style="28" customWidth="1"/>
    <col min="3325" max="3325" width="3.5" style="28" customWidth="1"/>
    <col min="3326" max="3327" width="12.625" style="28" customWidth="1"/>
    <col min="3328" max="3328" width="9" style="28"/>
    <col min="3329" max="3329" width="7.75" style="28" customWidth="1"/>
    <col min="3330" max="3330" width="13.125" style="28" customWidth="1"/>
    <col min="3331" max="3331" width="6.125" style="28" customWidth="1"/>
    <col min="3332" max="3332" width="9.75" style="28" customWidth="1"/>
    <col min="3333" max="3333" width="1.375" style="28" customWidth="1"/>
    <col min="3334" max="3573" width="9" style="28"/>
    <col min="3574" max="3574" width="1.375" style="28" customWidth="1"/>
    <col min="3575" max="3575" width="3.5" style="28" customWidth="1"/>
    <col min="3576" max="3576" width="22.125" style="28" customWidth="1"/>
    <col min="3577" max="3577" width="9.75" style="28" customWidth="1"/>
    <col min="3578" max="3578" width="7.375" style="28" customWidth="1"/>
    <col min="3579" max="3579" width="9" style="28"/>
    <col min="3580" max="3580" width="9.25" style="28" customWidth="1"/>
    <col min="3581" max="3581" width="3.5" style="28" customWidth="1"/>
    <col min="3582" max="3583" width="12.625" style="28" customWidth="1"/>
    <col min="3584" max="3584" width="9" style="28"/>
    <col min="3585" max="3585" width="7.75" style="28" customWidth="1"/>
    <col min="3586" max="3586" width="13.125" style="28" customWidth="1"/>
    <col min="3587" max="3587" width="6.125" style="28" customWidth="1"/>
    <col min="3588" max="3588" width="9.75" style="28" customWidth="1"/>
    <col min="3589" max="3589" width="1.375" style="28" customWidth="1"/>
    <col min="3590" max="3829" width="9" style="28"/>
    <col min="3830" max="3830" width="1.375" style="28" customWidth="1"/>
    <col min="3831" max="3831" width="3.5" style="28" customWidth="1"/>
    <col min="3832" max="3832" width="22.125" style="28" customWidth="1"/>
    <col min="3833" max="3833" width="9.75" style="28" customWidth="1"/>
    <col min="3834" max="3834" width="7.375" style="28" customWidth="1"/>
    <col min="3835" max="3835" width="9" style="28"/>
    <col min="3836" max="3836" width="9.25" style="28" customWidth="1"/>
    <col min="3837" max="3837" width="3.5" style="28" customWidth="1"/>
    <col min="3838" max="3839" width="12.625" style="28" customWidth="1"/>
    <col min="3840" max="3840" width="9" style="28"/>
    <col min="3841" max="3841" width="7.75" style="28" customWidth="1"/>
    <col min="3842" max="3842" width="13.125" style="28" customWidth="1"/>
    <col min="3843" max="3843" width="6.125" style="28" customWidth="1"/>
    <col min="3844" max="3844" width="9.75" style="28" customWidth="1"/>
    <col min="3845" max="3845" width="1.375" style="28" customWidth="1"/>
    <col min="3846" max="4085" width="9" style="28"/>
    <col min="4086" max="4086" width="1.375" style="28" customWidth="1"/>
    <col min="4087" max="4087" width="3.5" style="28" customWidth="1"/>
    <col min="4088" max="4088" width="22.125" style="28" customWidth="1"/>
    <col min="4089" max="4089" width="9.75" style="28" customWidth="1"/>
    <col min="4090" max="4090" width="7.375" style="28" customWidth="1"/>
    <col min="4091" max="4091" width="9" style="28"/>
    <col min="4092" max="4092" width="9.25" style="28" customWidth="1"/>
    <col min="4093" max="4093" width="3.5" style="28" customWidth="1"/>
    <col min="4094" max="4095" width="12.625" style="28" customWidth="1"/>
    <col min="4096" max="4096" width="9" style="28"/>
    <col min="4097" max="4097" width="7.75" style="28" customWidth="1"/>
    <col min="4098" max="4098" width="13.125" style="28" customWidth="1"/>
    <col min="4099" max="4099" width="6.125" style="28" customWidth="1"/>
    <col min="4100" max="4100" width="9.75" style="28" customWidth="1"/>
    <col min="4101" max="4101" width="1.375" style="28" customWidth="1"/>
    <col min="4102" max="4341" width="9" style="28"/>
    <col min="4342" max="4342" width="1.375" style="28" customWidth="1"/>
    <col min="4343" max="4343" width="3.5" style="28" customWidth="1"/>
    <col min="4344" max="4344" width="22.125" style="28" customWidth="1"/>
    <col min="4345" max="4345" width="9.75" style="28" customWidth="1"/>
    <col min="4346" max="4346" width="7.375" style="28" customWidth="1"/>
    <col min="4347" max="4347" width="9" style="28"/>
    <col min="4348" max="4348" width="9.25" style="28" customWidth="1"/>
    <col min="4349" max="4349" width="3.5" style="28" customWidth="1"/>
    <col min="4350" max="4351" width="12.625" style="28" customWidth="1"/>
    <col min="4352" max="4352" width="9" style="28"/>
    <col min="4353" max="4353" width="7.75" style="28" customWidth="1"/>
    <col min="4354" max="4354" width="13.125" style="28" customWidth="1"/>
    <col min="4355" max="4355" width="6.125" style="28" customWidth="1"/>
    <col min="4356" max="4356" width="9.75" style="28" customWidth="1"/>
    <col min="4357" max="4357" width="1.375" style="28" customWidth="1"/>
    <col min="4358" max="4597" width="9" style="28"/>
    <col min="4598" max="4598" width="1.375" style="28" customWidth="1"/>
    <col min="4599" max="4599" width="3.5" style="28" customWidth="1"/>
    <col min="4600" max="4600" width="22.125" style="28" customWidth="1"/>
    <col min="4601" max="4601" width="9.75" style="28" customWidth="1"/>
    <col min="4602" max="4602" width="7.375" style="28" customWidth="1"/>
    <col min="4603" max="4603" width="9" style="28"/>
    <col min="4604" max="4604" width="9.25" style="28" customWidth="1"/>
    <col min="4605" max="4605" width="3.5" style="28" customWidth="1"/>
    <col min="4606" max="4607" width="12.625" style="28" customWidth="1"/>
    <col min="4608" max="4608" width="9" style="28"/>
    <col min="4609" max="4609" width="7.75" style="28" customWidth="1"/>
    <col min="4610" max="4610" width="13.125" style="28" customWidth="1"/>
    <col min="4611" max="4611" width="6.125" style="28" customWidth="1"/>
    <col min="4612" max="4612" width="9.75" style="28" customWidth="1"/>
    <col min="4613" max="4613" width="1.375" style="28" customWidth="1"/>
    <col min="4614" max="4853" width="9" style="28"/>
    <col min="4854" max="4854" width="1.375" style="28" customWidth="1"/>
    <col min="4855" max="4855" width="3.5" style="28" customWidth="1"/>
    <col min="4856" max="4856" width="22.125" style="28" customWidth="1"/>
    <col min="4857" max="4857" width="9.75" style="28" customWidth="1"/>
    <col min="4858" max="4858" width="7.375" style="28" customWidth="1"/>
    <col min="4859" max="4859" width="9" style="28"/>
    <col min="4860" max="4860" width="9.25" style="28" customWidth="1"/>
    <col min="4861" max="4861" width="3.5" style="28" customWidth="1"/>
    <col min="4862" max="4863" width="12.625" style="28" customWidth="1"/>
    <col min="4864" max="4864" width="9" style="28"/>
    <col min="4865" max="4865" width="7.75" style="28" customWidth="1"/>
    <col min="4866" max="4866" width="13.125" style="28" customWidth="1"/>
    <col min="4867" max="4867" width="6.125" style="28" customWidth="1"/>
    <col min="4868" max="4868" width="9.75" style="28" customWidth="1"/>
    <col min="4869" max="4869" width="1.375" style="28" customWidth="1"/>
    <col min="4870" max="5109" width="9" style="28"/>
    <col min="5110" max="5110" width="1.375" style="28" customWidth="1"/>
    <col min="5111" max="5111" width="3.5" style="28" customWidth="1"/>
    <col min="5112" max="5112" width="22.125" style="28" customWidth="1"/>
    <col min="5113" max="5113" width="9.75" style="28" customWidth="1"/>
    <col min="5114" max="5114" width="7.375" style="28" customWidth="1"/>
    <col min="5115" max="5115" width="9" style="28"/>
    <col min="5116" max="5116" width="9.25" style="28" customWidth="1"/>
    <col min="5117" max="5117" width="3.5" style="28" customWidth="1"/>
    <col min="5118" max="5119" width="12.625" style="28" customWidth="1"/>
    <col min="5120" max="5120" width="9" style="28"/>
    <col min="5121" max="5121" width="7.75" style="28" customWidth="1"/>
    <col min="5122" max="5122" width="13.125" style="28" customWidth="1"/>
    <col min="5123" max="5123" width="6.125" style="28" customWidth="1"/>
    <col min="5124" max="5124" width="9.75" style="28" customWidth="1"/>
    <col min="5125" max="5125" width="1.375" style="28" customWidth="1"/>
    <col min="5126" max="5365" width="9" style="28"/>
    <col min="5366" max="5366" width="1.375" style="28" customWidth="1"/>
    <col min="5367" max="5367" width="3.5" style="28" customWidth="1"/>
    <col min="5368" max="5368" width="22.125" style="28" customWidth="1"/>
    <col min="5369" max="5369" width="9.75" style="28" customWidth="1"/>
    <col min="5370" max="5370" width="7.375" style="28" customWidth="1"/>
    <col min="5371" max="5371" width="9" style="28"/>
    <col min="5372" max="5372" width="9.25" style="28" customWidth="1"/>
    <col min="5373" max="5373" width="3.5" style="28" customWidth="1"/>
    <col min="5374" max="5375" width="12.625" style="28" customWidth="1"/>
    <col min="5376" max="5376" width="9" style="28"/>
    <col min="5377" max="5377" width="7.75" style="28" customWidth="1"/>
    <col min="5378" max="5378" width="13.125" style="28" customWidth="1"/>
    <col min="5379" max="5379" width="6.125" style="28" customWidth="1"/>
    <col min="5380" max="5380" width="9.75" style="28" customWidth="1"/>
    <col min="5381" max="5381" width="1.375" style="28" customWidth="1"/>
    <col min="5382" max="5621" width="9" style="28"/>
    <col min="5622" max="5622" width="1.375" style="28" customWidth="1"/>
    <col min="5623" max="5623" width="3.5" style="28" customWidth="1"/>
    <col min="5624" max="5624" width="22.125" style="28" customWidth="1"/>
    <col min="5625" max="5625" width="9.75" style="28" customWidth="1"/>
    <col min="5626" max="5626" width="7.375" style="28" customWidth="1"/>
    <col min="5627" max="5627" width="9" style="28"/>
    <col min="5628" max="5628" width="9.25" style="28" customWidth="1"/>
    <col min="5629" max="5629" width="3.5" style="28" customWidth="1"/>
    <col min="5630" max="5631" width="12.625" style="28" customWidth="1"/>
    <col min="5632" max="5632" width="9" style="28"/>
    <col min="5633" max="5633" width="7.75" style="28" customWidth="1"/>
    <col min="5634" max="5634" width="13.125" style="28" customWidth="1"/>
    <col min="5635" max="5635" width="6.125" style="28" customWidth="1"/>
    <col min="5636" max="5636" width="9.75" style="28" customWidth="1"/>
    <col min="5637" max="5637" width="1.375" style="28" customWidth="1"/>
    <col min="5638" max="5877" width="9" style="28"/>
    <col min="5878" max="5878" width="1.375" style="28" customWidth="1"/>
    <col min="5879" max="5879" width="3.5" style="28" customWidth="1"/>
    <col min="5880" max="5880" width="22.125" style="28" customWidth="1"/>
    <col min="5881" max="5881" width="9.75" style="28" customWidth="1"/>
    <col min="5882" max="5882" width="7.375" style="28" customWidth="1"/>
    <col min="5883" max="5883" width="9" style="28"/>
    <col min="5884" max="5884" width="9.25" style="28" customWidth="1"/>
    <col min="5885" max="5885" width="3.5" style="28" customWidth="1"/>
    <col min="5886" max="5887" width="12.625" style="28" customWidth="1"/>
    <col min="5888" max="5888" width="9" style="28"/>
    <col min="5889" max="5889" width="7.75" style="28" customWidth="1"/>
    <col min="5890" max="5890" width="13.125" style="28" customWidth="1"/>
    <col min="5891" max="5891" width="6.125" style="28" customWidth="1"/>
    <col min="5892" max="5892" width="9.75" style="28" customWidth="1"/>
    <col min="5893" max="5893" width="1.375" style="28" customWidth="1"/>
    <col min="5894" max="6133" width="9" style="28"/>
    <col min="6134" max="6134" width="1.375" style="28" customWidth="1"/>
    <col min="6135" max="6135" width="3.5" style="28" customWidth="1"/>
    <col min="6136" max="6136" width="22.125" style="28" customWidth="1"/>
    <col min="6137" max="6137" width="9.75" style="28" customWidth="1"/>
    <col min="6138" max="6138" width="7.375" style="28" customWidth="1"/>
    <col min="6139" max="6139" width="9" style="28"/>
    <col min="6140" max="6140" width="9.25" style="28" customWidth="1"/>
    <col min="6141" max="6141" width="3.5" style="28" customWidth="1"/>
    <col min="6142" max="6143" width="12.625" style="28" customWidth="1"/>
    <col min="6144" max="6144" width="9" style="28"/>
    <col min="6145" max="6145" width="7.75" style="28" customWidth="1"/>
    <col min="6146" max="6146" width="13.125" style="28" customWidth="1"/>
    <col min="6147" max="6147" width="6.125" style="28" customWidth="1"/>
    <col min="6148" max="6148" width="9.75" style="28" customWidth="1"/>
    <col min="6149" max="6149" width="1.375" style="28" customWidth="1"/>
    <col min="6150" max="6389" width="9" style="28"/>
    <col min="6390" max="6390" width="1.375" style="28" customWidth="1"/>
    <col min="6391" max="6391" width="3.5" style="28" customWidth="1"/>
    <col min="6392" max="6392" width="22.125" style="28" customWidth="1"/>
    <col min="6393" max="6393" width="9.75" style="28" customWidth="1"/>
    <col min="6394" max="6394" width="7.375" style="28" customWidth="1"/>
    <col min="6395" max="6395" width="9" style="28"/>
    <col min="6396" max="6396" width="9.25" style="28" customWidth="1"/>
    <col min="6397" max="6397" width="3.5" style="28" customWidth="1"/>
    <col min="6398" max="6399" width="12.625" style="28" customWidth="1"/>
    <col min="6400" max="6400" width="9" style="28"/>
    <col min="6401" max="6401" width="7.75" style="28" customWidth="1"/>
    <col min="6402" max="6402" width="13.125" style="28" customWidth="1"/>
    <col min="6403" max="6403" width="6.125" style="28" customWidth="1"/>
    <col min="6404" max="6404" width="9.75" style="28" customWidth="1"/>
    <col min="6405" max="6405" width="1.375" style="28" customWidth="1"/>
    <col min="6406" max="6645" width="9" style="28"/>
    <col min="6646" max="6646" width="1.375" style="28" customWidth="1"/>
    <col min="6647" max="6647" width="3.5" style="28" customWidth="1"/>
    <col min="6648" max="6648" width="22.125" style="28" customWidth="1"/>
    <col min="6649" max="6649" width="9.75" style="28" customWidth="1"/>
    <col min="6650" max="6650" width="7.375" style="28" customWidth="1"/>
    <col min="6651" max="6651" width="9" style="28"/>
    <col min="6652" max="6652" width="9.25" style="28" customWidth="1"/>
    <col min="6653" max="6653" width="3.5" style="28" customWidth="1"/>
    <col min="6654" max="6655" width="12.625" style="28" customWidth="1"/>
    <col min="6656" max="6656" width="9" style="28"/>
    <col min="6657" max="6657" width="7.75" style="28" customWidth="1"/>
    <col min="6658" max="6658" width="13.125" style="28" customWidth="1"/>
    <col min="6659" max="6659" width="6.125" style="28" customWidth="1"/>
    <col min="6660" max="6660" width="9.75" style="28" customWidth="1"/>
    <col min="6661" max="6661" width="1.375" style="28" customWidth="1"/>
    <col min="6662" max="6901" width="9" style="28"/>
    <col min="6902" max="6902" width="1.375" style="28" customWidth="1"/>
    <col min="6903" max="6903" width="3.5" style="28" customWidth="1"/>
    <col min="6904" max="6904" width="22.125" style="28" customWidth="1"/>
    <col min="6905" max="6905" width="9.75" style="28" customWidth="1"/>
    <col min="6906" max="6906" width="7.375" style="28" customWidth="1"/>
    <col min="6907" max="6907" width="9" style="28"/>
    <col min="6908" max="6908" width="9.25" style="28" customWidth="1"/>
    <col min="6909" max="6909" width="3.5" style="28" customWidth="1"/>
    <col min="6910" max="6911" width="12.625" style="28" customWidth="1"/>
    <col min="6912" max="6912" width="9" style="28"/>
    <col min="6913" max="6913" width="7.75" style="28" customWidth="1"/>
    <col min="6914" max="6914" width="13.125" style="28" customWidth="1"/>
    <col min="6915" max="6915" width="6.125" style="28" customWidth="1"/>
    <col min="6916" max="6916" width="9.75" style="28" customWidth="1"/>
    <col min="6917" max="6917" width="1.375" style="28" customWidth="1"/>
    <col min="6918" max="7157" width="9" style="28"/>
    <col min="7158" max="7158" width="1.375" style="28" customWidth="1"/>
    <col min="7159" max="7159" width="3.5" style="28" customWidth="1"/>
    <col min="7160" max="7160" width="22.125" style="28" customWidth="1"/>
    <col min="7161" max="7161" width="9.75" style="28" customWidth="1"/>
    <col min="7162" max="7162" width="7.375" style="28" customWidth="1"/>
    <col min="7163" max="7163" width="9" style="28"/>
    <col min="7164" max="7164" width="9.25" style="28" customWidth="1"/>
    <col min="7165" max="7165" width="3.5" style="28" customWidth="1"/>
    <col min="7166" max="7167" width="12.625" style="28" customWidth="1"/>
    <col min="7168" max="7168" width="9" style="28"/>
    <col min="7169" max="7169" width="7.75" style="28" customWidth="1"/>
    <col min="7170" max="7170" width="13.125" style="28" customWidth="1"/>
    <col min="7171" max="7171" width="6.125" style="28" customWidth="1"/>
    <col min="7172" max="7172" width="9.75" style="28" customWidth="1"/>
    <col min="7173" max="7173" width="1.375" style="28" customWidth="1"/>
    <col min="7174" max="7413" width="9" style="28"/>
    <col min="7414" max="7414" width="1.375" style="28" customWidth="1"/>
    <col min="7415" max="7415" width="3.5" style="28" customWidth="1"/>
    <col min="7416" max="7416" width="22.125" style="28" customWidth="1"/>
    <col min="7417" max="7417" width="9.75" style="28" customWidth="1"/>
    <col min="7418" max="7418" width="7.375" style="28" customWidth="1"/>
    <col min="7419" max="7419" width="9" style="28"/>
    <col min="7420" max="7420" width="9.25" style="28" customWidth="1"/>
    <col min="7421" max="7421" width="3.5" style="28" customWidth="1"/>
    <col min="7422" max="7423" width="12.625" style="28" customWidth="1"/>
    <col min="7424" max="7424" width="9" style="28"/>
    <col min="7425" max="7425" width="7.75" style="28" customWidth="1"/>
    <col min="7426" max="7426" width="13.125" style="28" customWidth="1"/>
    <col min="7427" max="7427" width="6.125" style="28" customWidth="1"/>
    <col min="7428" max="7428" width="9.75" style="28" customWidth="1"/>
    <col min="7429" max="7429" width="1.375" style="28" customWidth="1"/>
    <col min="7430" max="7669" width="9" style="28"/>
    <col min="7670" max="7670" width="1.375" style="28" customWidth="1"/>
    <col min="7671" max="7671" width="3.5" style="28" customWidth="1"/>
    <col min="7672" max="7672" width="22.125" style="28" customWidth="1"/>
    <col min="7673" max="7673" width="9.75" style="28" customWidth="1"/>
    <col min="7674" max="7674" width="7.375" style="28" customWidth="1"/>
    <col min="7675" max="7675" width="9" style="28"/>
    <col min="7676" max="7676" width="9.25" style="28" customWidth="1"/>
    <col min="7677" max="7677" width="3.5" style="28" customWidth="1"/>
    <col min="7678" max="7679" width="12.625" style="28" customWidth="1"/>
    <col min="7680" max="7680" width="9" style="28"/>
    <col min="7681" max="7681" width="7.75" style="28" customWidth="1"/>
    <col min="7682" max="7682" width="13.125" style="28" customWidth="1"/>
    <col min="7683" max="7683" width="6.125" style="28" customWidth="1"/>
    <col min="7684" max="7684" width="9.75" style="28" customWidth="1"/>
    <col min="7685" max="7685" width="1.375" style="28" customWidth="1"/>
    <col min="7686" max="7925" width="9" style="28"/>
    <col min="7926" max="7926" width="1.375" style="28" customWidth="1"/>
    <col min="7927" max="7927" width="3.5" style="28" customWidth="1"/>
    <col min="7928" max="7928" width="22.125" style="28" customWidth="1"/>
    <col min="7929" max="7929" width="9.75" style="28" customWidth="1"/>
    <col min="7930" max="7930" width="7.375" style="28" customWidth="1"/>
    <col min="7931" max="7931" width="9" style="28"/>
    <col min="7932" max="7932" width="9.25" style="28" customWidth="1"/>
    <col min="7933" max="7933" width="3.5" style="28" customWidth="1"/>
    <col min="7934" max="7935" width="12.625" style="28" customWidth="1"/>
    <col min="7936" max="7936" width="9" style="28"/>
    <col min="7937" max="7937" width="7.75" style="28" customWidth="1"/>
    <col min="7938" max="7938" width="13.125" style="28" customWidth="1"/>
    <col min="7939" max="7939" width="6.125" style="28" customWidth="1"/>
    <col min="7940" max="7940" width="9.75" style="28" customWidth="1"/>
    <col min="7941" max="7941" width="1.375" style="28" customWidth="1"/>
    <col min="7942" max="8181" width="9" style="28"/>
    <col min="8182" max="8182" width="1.375" style="28" customWidth="1"/>
    <col min="8183" max="8183" width="3.5" style="28" customWidth="1"/>
    <col min="8184" max="8184" width="22.125" style="28" customWidth="1"/>
    <col min="8185" max="8185" width="9.75" style="28" customWidth="1"/>
    <col min="8186" max="8186" width="7.375" style="28" customWidth="1"/>
    <col min="8187" max="8187" width="9" style="28"/>
    <col min="8188" max="8188" width="9.25" style="28" customWidth="1"/>
    <col min="8189" max="8189" width="3.5" style="28" customWidth="1"/>
    <col min="8190" max="8191" width="12.625" style="28" customWidth="1"/>
    <col min="8192" max="8192" width="9" style="28"/>
    <col min="8193" max="8193" width="7.75" style="28" customWidth="1"/>
    <col min="8194" max="8194" width="13.125" style="28" customWidth="1"/>
    <col min="8195" max="8195" width="6.125" style="28" customWidth="1"/>
    <col min="8196" max="8196" width="9.75" style="28" customWidth="1"/>
    <col min="8197" max="8197" width="1.375" style="28" customWidth="1"/>
    <col min="8198" max="8437" width="9" style="28"/>
    <col min="8438" max="8438" width="1.375" style="28" customWidth="1"/>
    <col min="8439" max="8439" width="3.5" style="28" customWidth="1"/>
    <col min="8440" max="8440" width="22.125" style="28" customWidth="1"/>
    <col min="8441" max="8441" width="9.75" style="28" customWidth="1"/>
    <col min="8442" max="8442" width="7.375" style="28" customWidth="1"/>
    <col min="8443" max="8443" width="9" style="28"/>
    <col min="8444" max="8444" width="9.25" style="28" customWidth="1"/>
    <col min="8445" max="8445" width="3.5" style="28" customWidth="1"/>
    <col min="8446" max="8447" width="12.625" style="28" customWidth="1"/>
    <col min="8448" max="8448" width="9" style="28"/>
    <col min="8449" max="8449" width="7.75" style="28" customWidth="1"/>
    <col min="8450" max="8450" width="13.125" style="28" customWidth="1"/>
    <col min="8451" max="8451" width="6.125" style="28" customWidth="1"/>
    <col min="8452" max="8452" width="9.75" style="28" customWidth="1"/>
    <col min="8453" max="8453" width="1.375" style="28" customWidth="1"/>
    <col min="8454" max="8693" width="9" style="28"/>
    <col min="8694" max="8694" width="1.375" style="28" customWidth="1"/>
    <col min="8695" max="8695" width="3.5" style="28" customWidth="1"/>
    <col min="8696" max="8696" width="22.125" style="28" customWidth="1"/>
    <col min="8697" max="8697" width="9.75" style="28" customWidth="1"/>
    <col min="8698" max="8698" width="7.375" style="28" customWidth="1"/>
    <col min="8699" max="8699" width="9" style="28"/>
    <col min="8700" max="8700" width="9.25" style="28" customWidth="1"/>
    <col min="8701" max="8701" width="3.5" style="28" customWidth="1"/>
    <col min="8702" max="8703" width="12.625" style="28" customWidth="1"/>
    <col min="8704" max="8704" width="9" style="28"/>
    <col min="8705" max="8705" width="7.75" style="28" customWidth="1"/>
    <col min="8706" max="8706" width="13.125" style="28" customWidth="1"/>
    <col min="8707" max="8707" width="6.125" style="28" customWidth="1"/>
    <col min="8708" max="8708" width="9.75" style="28" customWidth="1"/>
    <col min="8709" max="8709" width="1.375" style="28" customWidth="1"/>
    <col min="8710" max="8949" width="9" style="28"/>
    <col min="8950" max="8950" width="1.375" style="28" customWidth="1"/>
    <col min="8951" max="8951" width="3.5" style="28" customWidth="1"/>
    <col min="8952" max="8952" width="22.125" style="28" customWidth="1"/>
    <col min="8953" max="8953" width="9.75" style="28" customWidth="1"/>
    <col min="8954" max="8954" width="7.375" style="28" customWidth="1"/>
    <col min="8955" max="8955" width="9" style="28"/>
    <col min="8956" max="8956" width="9.25" style="28" customWidth="1"/>
    <col min="8957" max="8957" width="3.5" style="28" customWidth="1"/>
    <col min="8958" max="8959" width="12.625" style="28" customWidth="1"/>
    <col min="8960" max="8960" width="9" style="28"/>
    <col min="8961" max="8961" width="7.75" style="28" customWidth="1"/>
    <col min="8962" max="8962" width="13.125" style="28" customWidth="1"/>
    <col min="8963" max="8963" width="6.125" style="28" customWidth="1"/>
    <col min="8964" max="8964" width="9.75" style="28" customWidth="1"/>
    <col min="8965" max="8965" width="1.375" style="28" customWidth="1"/>
    <col min="8966" max="9205" width="9" style="28"/>
    <col min="9206" max="9206" width="1.375" style="28" customWidth="1"/>
    <col min="9207" max="9207" width="3.5" style="28" customWidth="1"/>
    <col min="9208" max="9208" width="22.125" style="28" customWidth="1"/>
    <col min="9209" max="9209" width="9.75" style="28" customWidth="1"/>
    <col min="9210" max="9210" width="7.375" style="28" customWidth="1"/>
    <col min="9211" max="9211" width="9" style="28"/>
    <col min="9212" max="9212" width="9.25" style="28" customWidth="1"/>
    <col min="9213" max="9213" width="3.5" style="28" customWidth="1"/>
    <col min="9214" max="9215" width="12.625" style="28" customWidth="1"/>
    <col min="9216" max="9216" width="9" style="28"/>
    <col min="9217" max="9217" width="7.75" style="28" customWidth="1"/>
    <col min="9218" max="9218" width="13.125" style="28" customWidth="1"/>
    <col min="9219" max="9219" width="6.125" style="28" customWidth="1"/>
    <col min="9220" max="9220" width="9.75" style="28" customWidth="1"/>
    <col min="9221" max="9221" width="1.375" style="28" customWidth="1"/>
    <col min="9222" max="9461" width="9" style="28"/>
    <col min="9462" max="9462" width="1.375" style="28" customWidth="1"/>
    <col min="9463" max="9463" width="3.5" style="28" customWidth="1"/>
    <col min="9464" max="9464" width="22.125" style="28" customWidth="1"/>
    <col min="9465" max="9465" width="9.75" style="28" customWidth="1"/>
    <col min="9466" max="9466" width="7.375" style="28" customWidth="1"/>
    <col min="9467" max="9467" width="9" style="28"/>
    <col min="9468" max="9468" width="9.25" style="28" customWidth="1"/>
    <col min="9469" max="9469" width="3.5" style="28" customWidth="1"/>
    <col min="9470" max="9471" width="12.625" style="28" customWidth="1"/>
    <col min="9472" max="9472" width="9" style="28"/>
    <col min="9473" max="9473" width="7.75" style="28" customWidth="1"/>
    <col min="9474" max="9474" width="13.125" style="28" customWidth="1"/>
    <col min="9475" max="9475" width="6.125" style="28" customWidth="1"/>
    <col min="9476" max="9476" width="9.75" style="28" customWidth="1"/>
    <col min="9477" max="9477" width="1.375" style="28" customWidth="1"/>
    <col min="9478" max="9717" width="9" style="28"/>
    <col min="9718" max="9718" width="1.375" style="28" customWidth="1"/>
    <col min="9719" max="9719" width="3.5" style="28" customWidth="1"/>
    <col min="9720" max="9720" width="22.125" style="28" customWidth="1"/>
    <col min="9721" max="9721" width="9.75" style="28" customWidth="1"/>
    <col min="9722" max="9722" width="7.375" style="28" customWidth="1"/>
    <col min="9723" max="9723" width="9" style="28"/>
    <col min="9724" max="9724" width="9.25" style="28" customWidth="1"/>
    <col min="9725" max="9725" width="3.5" style="28" customWidth="1"/>
    <col min="9726" max="9727" width="12.625" style="28" customWidth="1"/>
    <col min="9728" max="9728" width="9" style="28"/>
    <col min="9729" max="9729" width="7.75" style="28" customWidth="1"/>
    <col min="9730" max="9730" width="13.125" style="28" customWidth="1"/>
    <col min="9731" max="9731" width="6.125" style="28" customWidth="1"/>
    <col min="9732" max="9732" width="9.75" style="28" customWidth="1"/>
    <col min="9733" max="9733" width="1.375" style="28" customWidth="1"/>
    <col min="9734" max="9973" width="9" style="28"/>
    <col min="9974" max="9974" width="1.375" style="28" customWidth="1"/>
    <col min="9975" max="9975" width="3.5" style="28" customWidth="1"/>
    <col min="9976" max="9976" width="22.125" style="28" customWidth="1"/>
    <col min="9977" max="9977" width="9.75" style="28" customWidth="1"/>
    <col min="9978" max="9978" width="7.375" style="28" customWidth="1"/>
    <col min="9979" max="9979" width="9" style="28"/>
    <col min="9980" max="9980" width="9.25" style="28" customWidth="1"/>
    <col min="9981" max="9981" width="3.5" style="28" customWidth="1"/>
    <col min="9982" max="9983" width="12.625" style="28" customWidth="1"/>
    <col min="9984" max="9984" width="9" style="28"/>
    <col min="9985" max="9985" width="7.75" style="28" customWidth="1"/>
    <col min="9986" max="9986" width="13.125" style="28" customWidth="1"/>
    <col min="9987" max="9987" width="6.125" style="28" customWidth="1"/>
    <col min="9988" max="9988" width="9.75" style="28" customWidth="1"/>
    <col min="9989" max="9989" width="1.375" style="28" customWidth="1"/>
    <col min="9990" max="10229" width="9" style="28"/>
    <col min="10230" max="10230" width="1.375" style="28" customWidth="1"/>
    <col min="10231" max="10231" width="3.5" style="28" customWidth="1"/>
    <col min="10232" max="10232" width="22.125" style="28" customWidth="1"/>
    <col min="10233" max="10233" width="9.75" style="28" customWidth="1"/>
    <col min="10234" max="10234" width="7.375" style="28" customWidth="1"/>
    <col min="10235" max="10235" width="9" style="28"/>
    <col min="10236" max="10236" width="9.25" style="28" customWidth="1"/>
    <col min="10237" max="10237" width="3.5" style="28" customWidth="1"/>
    <col min="10238" max="10239" width="12.625" style="28" customWidth="1"/>
    <col min="10240" max="10240" width="9" style="28"/>
    <col min="10241" max="10241" width="7.75" style="28" customWidth="1"/>
    <col min="10242" max="10242" width="13.125" style="28" customWidth="1"/>
    <col min="10243" max="10243" width="6.125" style="28" customWidth="1"/>
    <col min="10244" max="10244" width="9.75" style="28" customWidth="1"/>
    <col min="10245" max="10245" width="1.375" style="28" customWidth="1"/>
    <col min="10246" max="10485" width="9" style="28"/>
    <col min="10486" max="10486" width="1.375" style="28" customWidth="1"/>
    <col min="10487" max="10487" width="3.5" style="28" customWidth="1"/>
    <col min="10488" max="10488" width="22.125" style="28" customWidth="1"/>
    <col min="10489" max="10489" width="9.75" style="28" customWidth="1"/>
    <col min="10490" max="10490" width="7.375" style="28" customWidth="1"/>
    <col min="10491" max="10491" width="9" style="28"/>
    <col min="10492" max="10492" width="9.25" style="28" customWidth="1"/>
    <col min="10493" max="10493" width="3.5" style="28" customWidth="1"/>
    <col min="10494" max="10495" width="12.625" style="28" customWidth="1"/>
    <col min="10496" max="10496" width="9" style="28"/>
    <col min="10497" max="10497" width="7.75" style="28" customWidth="1"/>
    <col min="10498" max="10498" width="13.125" style="28" customWidth="1"/>
    <col min="10499" max="10499" width="6.125" style="28" customWidth="1"/>
    <col min="10500" max="10500" width="9.75" style="28" customWidth="1"/>
    <col min="10501" max="10501" width="1.375" style="28" customWidth="1"/>
    <col min="10502" max="10741" width="9" style="28"/>
    <col min="10742" max="10742" width="1.375" style="28" customWidth="1"/>
    <col min="10743" max="10743" width="3.5" style="28" customWidth="1"/>
    <col min="10744" max="10744" width="22.125" style="28" customWidth="1"/>
    <col min="10745" max="10745" width="9.75" style="28" customWidth="1"/>
    <col min="10746" max="10746" width="7.375" style="28" customWidth="1"/>
    <col min="10747" max="10747" width="9" style="28"/>
    <col min="10748" max="10748" width="9.25" style="28" customWidth="1"/>
    <col min="10749" max="10749" width="3.5" style="28" customWidth="1"/>
    <col min="10750" max="10751" width="12.625" style="28" customWidth="1"/>
    <col min="10752" max="10752" width="9" style="28"/>
    <col min="10753" max="10753" width="7.75" style="28" customWidth="1"/>
    <col min="10754" max="10754" width="13.125" style="28" customWidth="1"/>
    <col min="10755" max="10755" width="6.125" style="28" customWidth="1"/>
    <col min="10756" max="10756" width="9.75" style="28" customWidth="1"/>
    <col min="10757" max="10757" width="1.375" style="28" customWidth="1"/>
    <col min="10758" max="10997" width="9" style="28"/>
    <col min="10998" max="10998" width="1.375" style="28" customWidth="1"/>
    <col min="10999" max="10999" width="3.5" style="28" customWidth="1"/>
    <col min="11000" max="11000" width="22.125" style="28" customWidth="1"/>
    <col min="11001" max="11001" width="9.75" style="28" customWidth="1"/>
    <col min="11002" max="11002" width="7.375" style="28" customWidth="1"/>
    <col min="11003" max="11003" width="9" style="28"/>
    <col min="11004" max="11004" width="9.25" style="28" customWidth="1"/>
    <col min="11005" max="11005" width="3.5" style="28" customWidth="1"/>
    <col min="11006" max="11007" width="12.625" style="28" customWidth="1"/>
    <col min="11008" max="11008" width="9" style="28"/>
    <col min="11009" max="11009" width="7.75" style="28" customWidth="1"/>
    <col min="11010" max="11010" width="13.125" style="28" customWidth="1"/>
    <col min="11011" max="11011" width="6.125" style="28" customWidth="1"/>
    <col min="11012" max="11012" width="9.75" style="28" customWidth="1"/>
    <col min="11013" max="11013" width="1.375" style="28" customWidth="1"/>
    <col min="11014" max="11253" width="9" style="28"/>
    <col min="11254" max="11254" width="1.375" style="28" customWidth="1"/>
    <col min="11255" max="11255" width="3.5" style="28" customWidth="1"/>
    <col min="11256" max="11256" width="22.125" style="28" customWidth="1"/>
    <col min="11257" max="11257" width="9.75" style="28" customWidth="1"/>
    <col min="11258" max="11258" width="7.375" style="28" customWidth="1"/>
    <col min="11259" max="11259" width="9" style="28"/>
    <col min="11260" max="11260" width="9.25" style="28" customWidth="1"/>
    <col min="11261" max="11261" width="3.5" style="28" customWidth="1"/>
    <col min="11262" max="11263" width="12.625" style="28" customWidth="1"/>
    <col min="11264" max="11264" width="9" style="28"/>
    <col min="11265" max="11265" width="7.75" style="28" customWidth="1"/>
    <col min="11266" max="11266" width="13.125" style="28" customWidth="1"/>
    <col min="11267" max="11267" width="6.125" style="28" customWidth="1"/>
    <col min="11268" max="11268" width="9.75" style="28" customWidth="1"/>
    <col min="11269" max="11269" width="1.375" style="28" customWidth="1"/>
    <col min="11270" max="11509" width="9" style="28"/>
    <col min="11510" max="11510" width="1.375" style="28" customWidth="1"/>
    <col min="11511" max="11511" width="3.5" style="28" customWidth="1"/>
    <col min="11512" max="11512" width="22.125" style="28" customWidth="1"/>
    <col min="11513" max="11513" width="9.75" style="28" customWidth="1"/>
    <col min="11514" max="11514" width="7.375" style="28" customWidth="1"/>
    <col min="11515" max="11515" width="9" style="28"/>
    <col min="11516" max="11516" width="9.25" style="28" customWidth="1"/>
    <col min="11517" max="11517" width="3.5" style="28" customWidth="1"/>
    <col min="11518" max="11519" width="12.625" style="28" customWidth="1"/>
    <col min="11520" max="11520" width="9" style="28"/>
    <col min="11521" max="11521" width="7.75" style="28" customWidth="1"/>
    <col min="11522" max="11522" width="13.125" style="28" customWidth="1"/>
    <col min="11523" max="11523" width="6.125" style="28" customWidth="1"/>
    <col min="11524" max="11524" width="9.75" style="28" customWidth="1"/>
    <col min="11525" max="11525" width="1.375" style="28" customWidth="1"/>
    <col min="11526" max="11765" width="9" style="28"/>
    <col min="11766" max="11766" width="1.375" style="28" customWidth="1"/>
    <col min="11767" max="11767" width="3.5" style="28" customWidth="1"/>
    <col min="11768" max="11768" width="22.125" style="28" customWidth="1"/>
    <col min="11769" max="11769" width="9.75" style="28" customWidth="1"/>
    <col min="11770" max="11770" width="7.375" style="28" customWidth="1"/>
    <col min="11771" max="11771" width="9" style="28"/>
    <col min="11772" max="11772" width="9.25" style="28" customWidth="1"/>
    <col min="11773" max="11773" width="3.5" style="28" customWidth="1"/>
    <col min="11774" max="11775" width="12.625" style="28" customWidth="1"/>
    <col min="11776" max="11776" width="9" style="28"/>
    <col min="11777" max="11777" width="7.75" style="28" customWidth="1"/>
    <col min="11778" max="11778" width="13.125" style="28" customWidth="1"/>
    <col min="11779" max="11779" width="6.125" style="28" customWidth="1"/>
    <col min="11780" max="11780" width="9.75" style="28" customWidth="1"/>
    <col min="11781" max="11781" width="1.375" style="28" customWidth="1"/>
    <col min="11782" max="12021" width="9" style="28"/>
    <col min="12022" max="12022" width="1.375" style="28" customWidth="1"/>
    <col min="12023" max="12023" width="3.5" style="28" customWidth="1"/>
    <col min="12024" max="12024" width="22.125" style="28" customWidth="1"/>
    <col min="12025" max="12025" width="9.75" style="28" customWidth="1"/>
    <col min="12026" max="12026" width="7.375" style="28" customWidth="1"/>
    <col min="12027" max="12027" width="9" style="28"/>
    <col min="12028" max="12028" width="9.25" style="28" customWidth="1"/>
    <col min="12029" max="12029" width="3.5" style="28" customWidth="1"/>
    <col min="12030" max="12031" width="12.625" style="28" customWidth="1"/>
    <col min="12032" max="12032" width="9" style="28"/>
    <col min="12033" max="12033" width="7.75" style="28" customWidth="1"/>
    <col min="12034" max="12034" width="13.125" style="28" customWidth="1"/>
    <col min="12035" max="12035" width="6.125" style="28" customWidth="1"/>
    <col min="12036" max="12036" width="9.75" style="28" customWidth="1"/>
    <col min="12037" max="12037" width="1.375" style="28" customWidth="1"/>
    <col min="12038" max="12277" width="9" style="28"/>
    <col min="12278" max="12278" width="1.375" style="28" customWidth="1"/>
    <col min="12279" max="12279" width="3.5" style="28" customWidth="1"/>
    <col min="12280" max="12280" width="22.125" style="28" customWidth="1"/>
    <col min="12281" max="12281" width="9.75" style="28" customWidth="1"/>
    <col min="12282" max="12282" width="7.375" style="28" customWidth="1"/>
    <col min="12283" max="12283" width="9" style="28"/>
    <col min="12284" max="12284" width="9.25" style="28" customWidth="1"/>
    <col min="12285" max="12285" width="3.5" style="28" customWidth="1"/>
    <col min="12286" max="12287" width="12.625" style="28" customWidth="1"/>
    <col min="12288" max="12288" width="9" style="28"/>
    <col min="12289" max="12289" width="7.75" style="28" customWidth="1"/>
    <col min="12290" max="12290" width="13.125" style="28" customWidth="1"/>
    <col min="12291" max="12291" width="6.125" style="28" customWidth="1"/>
    <col min="12292" max="12292" width="9.75" style="28" customWidth="1"/>
    <col min="12293" max="12293" width="1.375" style="28" customWidth="1"/>
    <col min="12294" max="12533" width="9" style="28"/>
    <col min="12534" max="12534" width="1.375" style="28" customWidth="1"/>
    <col min="12535" max="12535" width="3.5" style="28" customWidth="1"/>
    <col min="12536" max="12536" width="22.125" style="28" customWidth="1"/>
    <col min="12537" max="12537" width="9.75" style="28" customWidth="1"/>
    <col min="12538" max="12538" width="7.375" style="28" customWidth="1"/>
    <col min="12539" max="12539" width="9" style="28"/>
    <col min="12540" max="12540" width="9.25" style="28" customWidth="1"/>
    <col min="12541" max="12541" width="3.5" style="28" customWidth="1"/>
    <col min="12542" max="12543" width="12.625" style="28" customWidth="1"/>
    <col min="12544" max="12544" width="9" style="28"/>
    <col min="12545" max="12545" width="7.75" style="28" customWidth="1"/>
    <col min="12546" max="12546" width="13.125" style="28" customWidth="1"/>
    <col min="12547" max="12547" width="6.125" style="28" customWidth="1"/>
    <col min="12548" max="12548" width="9.75" style="28" customWidth="1"/>
    <col min="12549" max="12549" width="1.375" style="28" customWidth="1"/>
    <col min="12550" max="12789" width="9" style="28"/>
    <col min="12790" max="12790" width="1.375" style="28" customWidth="1"/>
    <col min="12791" max="12791" width="3.5" style="28" customWidth="1"/>
    <col min="12792" max="12792" width="22.125" style="28" customWidth="1"/>
    <col min="12793" max="12793" width="9.75" style="28" customWidth="1"/>
    <col min="12794" max="12794" width="7.375" style="28" customWidth="1"/>
    <col min="12795" max="12795" width="9" style="28"/>
    <col min="12796" max="12796" width="9.25" style="28" customWidth="1"/>
    <col min="12797" max="12797" width="3.5" style="28" customWidth="1"/>
    <col min="12798" max="12799" width="12.625" style="28" customWidth="1"/>
    <col min="12800" max="12800" width="9" style="28"/>
    <col min="12801" max="12801" width="7.75" style="28" customWidth="1"/>
    <col min="12802" max="12802" width="13.125" style="28" customWidth="1"/>
    <col min="12803" max="12803" width="6.125" style="28" customWidth="1"/>
    <col min="12804" max="12804" width="9.75" style="28" customWidth="1"/>
    <col min="12805" max="12805" width="1.375" style="28" customWidth="1"/>
    <col min="12806" max="13045" width="9" style="28"/>
    <col min="13046" max="13046" width="1.375" style="28" customWidth="1"/>
    <col min="13047" max="13047" width="3.5" style="28" customWidth="1"/>
    <col min="13048" max="13048" width="22.125" style="28" customWidth="1"/>
    <col min="13049" max="13049" width="9.75" style="28" customWidth="1"/>
    <col min="13050" max="13050" width="7.375" style="28" customWidth="1"/>
    <col min="13051" max="13051" width="9" style="28"/>
    <col min="13052" max="13052" width="9.25" style="28" customWidth="1"/>
    <col min="13053" max="13053" width="3.5" style="28" customWidth="1"/>
    <col min="13054" max="13055" width="12.625" style="28" customWidth="1"/>
    <col min="13056" max="13056" width="9" style="28"/>
    <col min="13057" max="13057" width="7.75" style="28" customWidth="1"/>
    <col min="13058" max="13058" width="13.125" style="28" customWidth="1"/>
    <col min="13059" max="13059" width="6.125" style="28" customWidth="1"/>
    <col min="13060" max="13060" width="9.75" style="28" customWidth="1"/>
    <col min="13061" max="13061" width="1.375" style="28" customWidth="1"/>
    <col min="13062" max="13301" width="9" style="28"/>
    <col min="13302" max="13302" width="1.375" style="28" customWidth="1"/>
    <col min="13303" max="13303" width="3.5" style="28" customWidth="1"/>
    <col min="13304" max="13304" width="22.125" style="28" customWidth="1"/>
    <col min="13305" max="13305" width="9.75" style="28" customWidth="1"/>
    <col min="13306" max="13306" width="7.375" style="28" customWidth="1"/>
    <col min="13307" max="13307" width="9" style="28"/>
    <col min="13308" max="13308" width="9.25" style="28" customWidth="1"/>
    <col min="13309" max="13309" width="3.5" style="28" customWidth="1"/>
    <col min="13310" max="13311" width="12.625" style="28" customWidth="1"/>
    <col min="13312" max="13312" width="9" style="28"/>
    <col min="13313" max="13313" width="7.75" style="28" customWidth="1"/>
    <col min="13314" max="13314" width="13.125" style="28" customWidth="1"/>
    <col min="13315" max="13315" width="6.125" style="28" customWidth="1"/>
    <col min="13316" max="13316" width="9.75" style="28" customWidth="1"/>
    <col min="13317" max="13317" width="1.375" style="28" customWidth="1"/>
    <col min="13318" max="13557" width="9" style="28"/>
    <col min="13558" max="13558" width="1.375" style="28" customWidth="1"/>
    <col min="13559" max="13559" width="3.5" style="28" customWidth="1"/>
    <col min="13560" max="13560" width="22.125" style="28" customWidth="1"/>
    <col min="13561" max="13561" width="9.75" style="28" customWidth="1"/>
    <col min="13562" max="13562" width="7.375" style="28" customWidth="1"/>
    <col min="13563" max="13563" width="9" style="28"/>
    <col min="13564" max="13564" width="9.25" style="28" customWidth="1"/>
    <col min="13565" max="13565" width="3.5" style="28" customWidth="1"/>
    <col min="13566" max="13567" width="12.625" style="28" customWidth="1"/>
    <col min="13568" max="13568" width="9" style="28"/>
    <col min="13569" max="13569" width="7.75" style="28" customWidth="1"/>
    <col min="13570" max="13570" width="13.125" style="28" customWidth="1"/>
    <col min="13571" max="13571" width="6.125" style="28" customWidth="1"/>
    <col min="13572" max="13572" width="9.75" style="28" customWidth="1"/>
    <col min="13573" max="13573" width="1.375" style="28" customWidth="1"/>
    <col min="13574" max="13813" width="9" style="28"/>
    <col min="13814" max="13814" width="1.375" style="28" customWidth="1"/>
    <col min="13815" max="13815" width="3.5" style="28" customWidth="1"/>
    <col min="13816" max="13816" width="22.125" style="28" customWidth="1"/>
    <col min="13817" max="13817" width="9.75" style="28" customWidth="1"/>
    <col min="13818" max="13818" width="7.375" style="28" customWidth="1"/>
    <col min="13819" max="13819" width="9" style="28"/>
    <col min="13820" max="13820" width="9.25" style="28" customWidth="1"/>
    <col min="13821" max="13821" width="3.5" style="28" customWidth="1"/>
    <col min="13822" max="13823" width="12.625" style="28" customWidth="1"/>
    <col min="13824" max="13824" width="9" style="28"/>
    <col min="13825" max="13825" width="7.75" style="28" customWidth="1"/>
    <col min="13826" max="13826" width="13.125" style="28" customWidth="1"/>
    <col min="13827" max="13827" width="6.125" style="28" customWidth="1"/>
    <col min="13828" max="13828" width="9.75" style="28" customWidth="1"/>
    <col min="13829" max="13829" width="1.375" style="28" customWidth="1"/>
    <col min="13830" max="14069" width="9" style="28"/>
    <col min="14070" max="14070" width="1.375" style="28" customWidth="1"/>
    <col min="14071" max="14071" width="3.5" style="28" customWidth="1"/>
    <col min="14072" max="14072" width="22.125" style="28" customWidth="1"/>
    <col min="14073" max="14073" width="9.75" style="28" customWidth="1"/>
    <col min="14074" max="14074" width="7.375" style="28" customWidth="1"/>
    <col min="14075" max="14075" width="9" style="28"/>
    <col min="14076" max="14076" width="9.25" style="28" customWidth="1"/>
    <col min="14077" max="14077" width="3.5" style="28" customWidth="1"/>
    <col min="14078" max="14079" width="12.625" style="28" customWidth="1"/>
    <col min="14080" max="14080" width="9" style="28"/>
    <col min="14081" max="14081" width="7.75" style="28" customWidth="1"/>
    <col min="14082" max="14082" width="13.125" style="28" customWidth="1"/>
    <col min="14083" max="14083" width="6.125" style="28" customWidth="1"/>
    <col min="14084" max="14084" width="9.75" style="28" customWidth="1"/>
    <col min="14085" max="14085" width="1.375" style="28" customWidth="1"/>
    <col min="14086" max="14325" width="9" style="28"/>
    <col min="14326" max="14326" width="1.375" style="28" customWidth="1"/>
    <col min="14327" max="14327" width="3.5" style="28" customWidth="1"/>
    <col min="14328" max="14328" width="22.125" style="28" customWidth="1"/>
    <col min="14329" max="14329" width="9.75" style="28" customWidth="1"/>
    <col min="14330" max="14330" width="7.375" style="28" customWidth="1"/>
    <col min="14331" max="14331" width="9" style="28"/>
    <col min="14332" max="14332" width="9.25" style="28" customWidth="1"/>
    <col min="14333" max="14333" width="3.5" style="28" customWidth="1"/>
    <col min="14334" max="14335" width="12.625" style="28" customWidth="1"/>
    <col min="14336" max="14336" width="9" style="28"/>
    <col min="14337" max="14337" width="7.75" style="28" customWidth="1"/>
    <col min="14338" max="14338" width="13.125" style="28" customWidth="1"/>
    <col min="14339" max="14339" width="6.125" style="28" customWidth="1"/>
    <col min="14340" max="14340" width="9.75" style="28" customWidth="1"/>
    <col min="14341" max="14341" width="1.375" style="28" customWidth="1"/>
    <col min="14342" max="14581" width="9" style="28"/>
    <col min="14582" max="14582" width="1.375" style="28" customWidth="1"/>
    <col min="14583" max="14583" width="3.5" style="28" customWidth="1"/>
    <col min="14584" max="14584" width="22.125" style="28" customWidth="1"/>
    <col min="14585" max="14585" width="9.75" style="28" customWidth="1"/>
    <col min="14586" max="14586" width="7.375" style="28" customWidth="1"/>
    <col min="14587" max="14587" width="9" style="28"/>
    <col min="14588" max="14588" width="9.25" style="28" customWidth="1"/>
    <col min="14589" max="14589" width="3.5" style="28" customWidth="1"/>
    <col min="14590" max="14591" width="12.625" style="28" customWidth="1"/>
    <col min="14592" max="14592" width="9" style="28"/>
    <col min="14593" max="14593" width="7.75" style="28" customWidth="1"/>
    <col min="14594" max="14594" width="13.125" style="28" customWidth="1"/>
    <col min="14595" max="14595" width="6.125" style="28" customWidth="1"/>
    <col min="14596" max="14596" width="9.75" style="28" customWidth="1"/>
    <col min="14597" max="14597" width="1.375" style="28" customWidth="1"/>
    <col min="14598" max="14837" width="9" style="28"/>
    <col min="14838" max="14838" width="1.375" style="28" customWidth="1"/>
    <col min="14839" max="14839" width="3.5" style="28" customWidth="1"/>
    <col min="14840" max="14840" width="22.125" style="28" customWidth="1"/>
    <col min="14841" max="14841" width="9.75" style="28" customWidth="1"/>
    <col min="14842" max="14842" width="7.375" style="28" customWidth="1"/>
    <col min="14843" max="14843" width="9" style="28"/>
    <col min="14844" max="14844" width="9.25" style="28" customWidth="1"/>
    <col min="14845" max="14845" width="3.5" style="28" customWidth="1"/>
    <col min="14846" max="14847" width="12.625" style="28" customWidth="1"/>
    <col min="14848" max="14848" width="9" style="28"/>
    <col min="14849" max="14849" width="7.75" style="28" customWidth="1"/>
    <col min="14850" max="14850" width="13.125" style="28" customWidth="1"/>
    <col min="14851" max="14851" width="6.125" style="28" customWidth="1"/>
    <col min="14852" max="14852" width="9.75" style="28" customWidth="1"/>
    <col min="14853" max="14853" width="1.375" style="28" customWidth="1"/>
    <col min="14854" max="15093" width="9" style="28"/>
    <col min="15094" max="15094" width="1.375" style="28" customWidth="1"/>
    <col min="15095" max="15095" width="3.5" style="28" customWidth="1"/>
    <col min="15096" max="15096" width="22.125" style="28" customWidth="1"/>
    <col min="15097" max="15097" width="9.75" style="28" customWidth="1"/>
    <col min="15098" max="15098" width="7.375" style="28" customWidth="1"/>
    <col min="15099" max="15099" width="9" style="28"/>
    <col min="15100" max="15100" width="9.25" style="28" customWidth="1"/>
    <col min="15101" max="15101" width="3.5" style="28" customWidth="1"/>
    <col min="15102" max="15103" width="12.625" style="28" customWidth="1"/>
    <col min="15104" max="15104" width="9" style="28"/>
    <col min="15105" max="15105" width="7.75" style="28" customWidth="1"/>
    <col min="15106" max="15106" width="13.125" style="28" customWidth="1"/>
    <col min="15107" max="15107" width="6.125" style="28" customWidth="1"/>
    <col min="15108" max="15108" width="9.75" style="28" customWidth="1"/>
    <col min="15109" max="15109" width="1.375" style="28" customWidth="1"/>
    <col min="15110" max="15349" width="9" style="28"/>
    <col min="15350" max="15350" width="1.375" style="28" customWidth="1"/>
    <col min="15351" max="15351" width="3.5" style="28" customWidth="1"/>
    <col min="15352" max="15352" width="22.125" style="28" customWidth="1"/>
    <col min="15353" max="15353" width="9.75" style="28" customWidth="1"/>
    <col min="15354" max="15354" width="7.375" style="28" customWidth="1"/>
    <col min="15355" max="15355" width="9" style="28"/>
    <col min="15356" max="15356" width="9.25" style="28" customWidth="1"/>
    <col min="15357" max="15357" width="3.5" style="28" customWidth="1"/>
    <col min="15358" max="15359" width="12.625" style="28" customWidth="1"/>
    <col min="15360" max="15360" width="9" style="28"/>
    <col min="15361" max="15361" width="7.75" style="28" customWidth="1"/>
    <col min="15362" max="15362" width="13.125" style="28" customWidth="1"/>
    <col min="15363" max="15363" width="6.125" style="28" customWidth="1"/>
    <col min="15364" max="15364" width="9.75" style="28" customWidth="1"/>
    <col min="15365" max="15365" width="1.375" style="28" customWidth="1"/>
    <col min="15366" max="15605" width="9" style="28"/>
    <col min="15606" max="15606" width="1.375" style="28" customWidth="1"/>
    <col min="15607" max="15607" width="3.5" style="28" customWidth="1"/>
    <col min="15608" max="15608" width="22.125" style="28" customWidth="1"/>
    <col min="15609" max="15609" width="9.75" style="28" customWidth="1"/>
    <col min="15610" max="15610" width="7.375" style="28" customWidth="1"/>
    <col min="15611" max="15611" width="9" style="28"/>
    <col min="15612" max="15612" width="9.25" style="28" customWidth="1"/>
    <col min="15613" max="15613" width="3.5" style="28" customWidth="1"/>
    <col min="15614" max="15615" width="12.625" style="28" customWidth="1"/>
    <col min="15616" max="15616" width="9" style="28"/>
    <col min="15617" max="15617" width="7.75" style="28" customWidth="1"/>
    <col min="15618" max="15618" width="13.125" style="28" customWidth="1"/>
    <col min="15619" max="15619" width="6.125" style="28" customWidth="1"/>
    <col min="15620" max="15620" width="9.75" style="28" customWidth="1"/>
    <col min="15621" max="15621" width="1.375" style="28" customWidth="1"/>
    <col min="15622" max="15861" width="9" style="28"/>
    <col min="15862" max="15862" width="1.375" style="28" customWidth="1"/>
    <col min="15863" max="15863" width="3.5" style="28" customWidth="1"/>
    <col min="15864" max="15864" width="22.125" style="28" customWidth="1"/>
    <col min="15865" max="15865" width="9.75" style="28" customWidth="1"/>
    <col min="15866" max="15866" width="7.375" style="28" customWidth="1"/>
    <col min="15867" max="15867" width="9" style="28"/>
    <col min="15868" max="15868" width="9.25" style="28" customWidth="1"/>
    <col min="15869" max="15869" width="3.5" style="28" customWidth="1"/>
    <col min="15870" max="15871" width="12.625" style="28" customWidth="1"/>
    <col min="15872" max="15872" width="9" style="28"/>
    <col min="15873" max="15873" width="7.75" style="28" customWidth="1"/>
    <col min="15874" max="15874" width="13.125" style="28" customWidth="1"/>
    <col min="15875" max="15875" width="6.125" style="28" customWidth="1"/>
    <col min="15876" max="15876" width="9.75" style="28" customWidth="1"/>
    <col min="15877" max="15877" width="1.375" style="28" customWidth="1"/>
    <col min="15878" max="16117" width="9" style="28"/>
    <col min="16118" max="16118" width="1.375" style="28" customWidth="1"/>
    <col min="16119" max="16119" width="3.5" style="28" customWidth="1"/>
    <col min="16120" max="16120" width="22.125" style="28" customWidth="1"/>
    <col min="16121" max="16121" width="9.75" style="28" customWidth="1"/>
    <col min="16122" max="16122" width="7.375" style="28" customWidth="1"/>
    <col min="16123" max="16123" width="9" style="28"/>
    <col min="16124" max="16124" width="9.25" style="28" customWidth="1"/>
    <col min="16125" max="16125" width="3.5" style="28" customWidth="1"/>
    <col min="16126" max="16127" width="12.625" style="28" customWidth="1"/>
    <col min="16128" max="16128" width="9" style="28"/>
    <col min="16129" max="16129" width="7.75" style="28" customWidth="1"/>
    <col min="16130" max="16130" width="13.125" style="28" customWidth="1"/>
    <col min="16131" max="16131" width="6.125" style="28" customWidth="1"/>
    <col min="16132" max="16132" width="9.75" style="28" customWidth="1"/>
    <col min="16133" max="16133" width="1.375" style="28" customWidth="1"/>
    <col min="16134" max="16384" width="9" style="28"/>
  </cols>
  <sheetData>
    <row r="1" spans="2:22" ht="9.9499999999999993" customHeight="1" x14ac:dyDescent="0.15"/>
    <row r="2" spans="2:22" ht="24.95" customHeight="1" x14ac:dyDescent="0.15">
      <c r="B2" s="28" t="s">
        <v>174</v>
      </c>
      <c r="C2" s="30"/>
      <c r="D2" s="5"/>
      <c r="E2" s="5"/>
      <c r="F2" s="30"/>
      <c r="G2" s="72"/>
      <c r="H2" s="78"/>
      <c r="I2" s="72"/>
      <c r="J2" s="72"/>
      <c r="K2" s="72"/>
      <c r="L2" s="72"/>
      <c r="M2" s="72"/>
      <c r="N2" s="72"/>
      <c r="O2" s="5"/>
    </row>
    <row r="3" spans="2:22" ht="15.4" customHeight="1" thickBot="1" x14ac:dyDescent="0.2">
      <c r="B3" s="28" t="s">
        <v>164</v>
      </c>
      <c r="I3" s="5" t="s">
        <v>108</v>
      </c>
      <c r="P3" s="113" t="s">
        <v>127</v>
      </c>
    </row>
    <row r="4" spans="2:22" ht="15.4" customHeight="1" x14ac:dyDescent="0.15">
      <c r="B4" s="358" t="s">
        <v>48</v>
      </c>
      <c r="C4" s="359" t="s">
        <v>87</v>
      </c>
      <c r="D4" s="359" t="s">
        <v>76</v>
      </c>
      <c r="E4" s="359" t="s">
        <v>77</v>
      </c>
      <c r="F4" s="359" t="s">
        <v>17</v>
      </c>
      <c r="G4" s="360" t="s">
        <v>78</v>
      </c>
      <c r="H4" s="108"/>
      <c r="I4" s="866" t="s">
        <v>48</v>
      </c>
      <c r="J4" s="868" t="s">
        <v>90</v>
      </c>
      <c r="K4" s="361" t="s">
        <v>334</v>
      </c>
      <c r="L4" s="361" t="s">
        <v>79</v>
      </c>
      <c r="M4" s="868" t="s">
        <v>17</v>
      </c>
      <c r="N4" s="870" t="s">
        <v>78</v>
      </c>
      <c r="O4" s="114"/>
      <c r="P4" s="362" t="s">
        <v>93</v>
      </c>
      <c r="Q4" s="363" t="s">
        <v>94</v>
      </c>
      <c r="R4" s="363" t="s">
        <v>95</v>
      </c>
      <c r="S4" s="363" t="s">
        <v>335</v>
      </c>
      <c r="T4" s="872" t="s">
        <v>96</v>
      </c>
      <c r="U4" s="873"/>
      <c r="V4" s="364" t="s">
        <v>97</v>
      </c>
    </row>
    <row r="5" spans="2:22" ht="15.4" customHeight="1" x14ac:dyDescent="0.15">
      <c r="B5" s="771" t="s">
        <v>165</v>
      </c>
      <c r="C5" s="205" t="s">
        <v>336</v>
      </c>
      <c r="D5" s="205">
        <v>225</v>
      </c>
      <c r="E5" s="298" t="s">
        <v>337</v>
      </c>
      <c r="F5" s="205">
        <v>750</v>
      </c>
      <c r="G5" s="365">
        <f t="shared" ref="G5:G6" si="0">D5*F5</f>
        <v>168750</v>
      </c>
      <c r="H5" s="109"/>
      <c r="I5" s="867"/>
      <c r="J5" s="869"/>
      <c r="K5" s="112" t="s">
        <v>80</v>
      </c>
      <c r="L5" s="112" t="s">
        <v>338</v>
      </c>
      <c r="M5" s="869"/>
      <c r="N5" s="871"/>
      <c r="O5" s="114"/>
      <c r="P5" s="366" t="s">
        <v>339</v>
      </c>
      <c r="Q5" s="367"/>
      <c r="R5" s="368"/>
      <c r="S5" s="367"/>
      <c r="T5" s="863"/>
      <c r="U5" s="864"/>
      <c r="V5" s="369" t="e">
        <f>Q5*S5/T5</f>
        <v>#DIV/0!</v>
      </c>
    </row>
    <row r="6" spans="2:22" ht="15.4" customHeight="1" x14ac:dyDescent="0.15">
      <c r="B6" s="763"/>
      <c r="C6" s="205" t="s">
        <v>276</v>
      </c>
      <c r="D6" s="205">
        <v>135</v>
      </c>
      <c r="E6" s="298" t="s">
        <v>337</v>
      </c>
      <c r="F6" s="205">
        <v>980</v>
      </c>
      <c r="G6" s="101">
        <f t="shared" si="0"/>
        <v>132300</v>
      </c>
      <c r="H6" s="109"/>
      <c r="I6" s="865" t="s">
        <v>89</v>
      </c>
      <c r="J6" s="205"/>
      <c r="K6" s="370"/>
      <c r="L6" s="370"/>
      <c r="M6" s="370"/>
      <c r="N6" s="101">
        <f>K6*L6*M6</f>
        <v>0</v>
      </c>
      <c r="O6" s="114"/>
      <c r="P6" s="366" t="s">
        <v>340</v>
      </c>
      <c r="Q6" s="367"/>
      <c r="R6" s="368"/>
      <c r="S6" s="367"/>
      <c r="T6" s="863"/>
      <c r="U6" s="864"/>
      <c r="V6" s="369" t="e">
        <f t="shared" ref="V6:V15" si="1">Q6*S6/T6</f>
        <v>#DIV/0!</v>
      </c>
    </row>
    <row r="7" spans="2:22" ht="15.4" customHeight="1" thickBot="1" x14ac:dyDescent="0.2">
      <c r="B7" s="862"/>
      <c r="C7" s="371" t="s">
        <v>81</v>
      </c>
      <c r="D7" s="371"/>
      <c r="E7" s="371"/>
      <c r="F7" s="371"/>
      <c r="G7" s="372">
        <f>SUM(G5:G6)</f>
        <v>301050</v>
      </c>
      <c r="H7" s="109"/>
      <c r="I7" s="763"/>
      <c r="J7" s="205"/>
      <c r="K7" s="370"/>
      <c r="L7" s="370"/>
      <c r="M7" s="370"/>
      <c r="N7" s="101">
        <f t="shared" ref="N7:N9" si="2">K7*L7*M7</f>
        <v>0</v>
      </c>
      <c r="O7" s="114"/>
      <c r="P7" s="366" t="s">
        <v>341</v>
      </c>
      <c r="Q7" s="367"/>
      <c r="R7" s="368"/>
      <c r="S7" s="367"/>
      <c r="T7" s="863"/>
      <c r="U7" s="864"/>
      <c r="V7" s="369" t="e">
        <f t="shared" si="1"/>
        <v>#DIV/0!</v>
      </c>
    </row>
    <row r="8" spans="2:22" ht="15.4" customHeight="1" thickTop="1" x14ac:dyDescent="0.15">
      <c r="B8" s="874" t="s">
        <v>86</v>
      </c>
      <c r="C8" s="205" t="s">
        <v>279</v>
      </c>
      <c r="D8" s="205">
        <v>7500</v>
      </c>
      <c r="E8" s="298" t="s">
        <v>278</v>
      </c>
      <c r="F8" s="205">
        <v>31</v>
      </c>
      <c r="G8" s="101">
        <f>D8*F8</f>
        <v>232500</v>
      </c>
      <c r="H8" s="109"/>
      <c r="I8" s="763"/>
      <c r="J8" s="205"/>
      <c r="K8" s="370"/>
      <c r="L8" s="370"/>
      <c r="M8" s="370"/>
      <c r="N8" s="101">
        <f t="shared" si="2"/>
        <v>0</v>
      </c>
      <c r="O8" s="114"/>
      <c r="P8" s="366" t="s">
        <v>342</v>
      </c>
      <c r="Q8" s="367"/>
      <c r="R8" s="368"/>
      <c r="S8" s="367"/>
      <c r="T8" s="863"/>
      <c r="U8" s="864"/>
      <c r="V8" s="369" t="e">
        <f t="shared" si="1"/>
        <v>#DIV/0!</v>
      </c>
    </row>
    <row r="9" spans="2:22" ht="15.4" customHeight="1" x14ac:dyDescent="0.15">
      <c r="B9" s="763"/>
      <c r="C9" s="205" t="s">
        <v>280</v>
      </c>
      <c r="D9" s="205">
        <v>3000</v>
      </c>
      <c r="E9" s="298" t="s">
        <v>278</v>
      </c>
      <c r="F9" s="205">
        <v>120</v>
      </c>
      <c r="G9" s="101">
        <f>D9*F9</f>
        <v>360000</v>
      </c>
      <c r="H9" s="109"/>
      <c r="I9" s="763"/>
      <c r="J9" s="205"/>
      <c r="K9" s="370"/>
      <c r="L9" s="370"/>
      <c r="M9" s="370"/>
      <c r="N9" s="101">
        <f t="shared" si="2"/>
        <v>0</v>
      </c>
      <c r="O9" s="114"/>
      <c r="P9" s="366" t="s">
        <v>343</v>
      </c>
      <c r="Q9" s="367"/>
      <c r="R9" s="368"/>
      <c r="S9" s="367"/>
      <c r="T9" s="863"/>
      <c r="U9" s="864"/>
      <c r="V9" s="369" t="e">
        <f t="shared" si="1"/>
        <v>#DIV/0!</v>
      </c>
    </row>
    <row r="10" spans="2:22" ht="15.4" customHeight="1" thickBot="1" x14ac:dyDescent="0.2">
      <c r="B10" s="763"/>
      <c r="C10" s="205" t="s">
        <v>221</v>
      </c>
      <c r="D10" s="205">
        <v>1500</v>
      </c>
      <c r="E10" s="298" t="s">
        <v>278</v>
      </c>
      <c r="F10" s="205">
        <v>90</v>
      </c>
      <c r="G10" s="101">
        <f>D10*F10</f>
        <v>135000</v>
      </c>
      <c r="H10" s="109"/>
      <c r="I10" s="862"/>
      <c r="J10" s="373" t="s">
        <v>344</v>
      </c>
      <c r="K10" s="374">
        <f t="shared" ref="K10:L10" si="3">SUM(K6:K9)</f>
        <v>0</v>
      </c>
      <c r="L10" s="374">
        <f t="shared" si="3"/>
        <v>0</v>
      </c>
      <c r="M10" s="374"/>
      <c r="N10" s="375">
        <f>SUM(N6:N9)</f>
        <v>0</v>
      </c>
      <c r="O10" s="114"/>
      <c r="P10" s="366" t="s">
        <v>345</v>
      </c>
      <c r="Q10" s="367"/>
      <c r="R10" s="368"/>
      <c r="S10" s="367"/>
      <c r="T10" s="863"/>
      <c r="U10" s="864"/>
      <c r="V10" s="369" t="e">
        <f t="shared" si="1"/>
        <v>#DIV/0!</v>
      </c>
    </row>
    <row r="11" spans="2:22" ht="15.4" customHeight="1" thickTop="1" thickBot="1" x14ac:dyDescent="0.2">
      <c r="B11" s="862"/>
      <c r="C11" s="102" t="s">
        <v>82</v>
      </c>
      <c r="D11" s="103"/>
      <c r="E11" s="103"/>
      <c r="F11" s="103"/>
      <c r="G11" s="104">
        <f>SUM(G8:G10)</f>
        <v>727500</v>
      </c>
      <c r="H11" s="109"/>
      <c r="I11" s="874" t="s">
        <v>346</v>
      </c>
      <c r="J11" s="205"/>
      <c r="K11" s="370"/>
      <c r="L11" s="370"/>
      <c r="M11" s="370"/>
      <c r="N11" s="101">
        <f>K11*L11*M11</f>
        <v>0</v>
      </c>
      <c r="O11" s="114"/>
      <c r="P11" s="366" t="s">
        <v>347</v>
      </c>
      <c r="Q11" s="367"/>
      <c r="R11" s="368"/>
      <c r="S11" s="367"/>
      <c r="T11" s="863"/>
      <c r="U11" s="864"/>
      <c r="V11" s="369" t="e">
        <f t="shared" si="1"/>
        <v>#DIV/0!</v>
      </c>
    </row>
    <row r="12" spans="2:22" ht="15.4" customHeight="1" thickTop="1" x14ac:dyDescent="0.15">
      <c r="B12" s="874" t="s">
        <v>275</v>
      </c>
      <c r="C12" s="205" t="s">
        <v>326</v>
      </c>
      <c r="D12" s="205">
        <v>381.4</v>
      </c>
      <c r="E12" s="298" t="s">
        <v>348</v>
      </c>
      <c r="F12" s="205">
        <v>84.7</v>
      </c>
      <c r="G12" s="101">
        <f>D12*F12</f>
        <v>32304.579999999998</v>
      </c>
      <c r="H12" s="109"/>
      <c r="I12" s="763"/>
      <c r="J12" s="205"/>
      <c r="K12" s="370"/>
      <c r="L12" s="370"/>
      <c r="M12" s="370"/>
      <c r="N12" s="101">
        <f t="shared" ref="N12:N14" si="4">K12*L12*M12</f>
        <v>0</v>
      </c>
      <c r="O12" s="114"/>
      <c r="P12" s="366" t="s">
        <v>349</v>
      </c>
      <c r="Q12" s="367"/>
      <c r="R12" s="368"/>
      <c r="S12" s="367"/>
      <c r="T12" s="863"/>
      <c r="U12" s="864"/>
      <c r="V12" s="369" t="e">
        <f t="shared" si="1"/>
        <v>#DIV/0!</v>
      </c>
    </row>
    <row r="13" spans="2:22" ht="15.4" customHeight="1" x14ac:dyDescent="0.15">
      <c r="B13" s="763"/>
      <c r="C13" s="205" t="s">
        <v>327</v>
      </c>
      <c r="D13" s="205">
        <v>329</v>
      </c>
      <c r="E13" s="298" t="s">
        <v>350</v>
      </c>
      <c r="F13" s="205">
        <v>84.7</v>
      </c>
      <c r="G13" s="101">
        <f>D13*F13</f>
        <v>27866.3</v>
      </c>
      <c r="H13" s="109"/>
      <c r="I13" s="763"/>
      <c r="J13" s="205"/>
      <c r="K13" s="370"/>
      <c r="L13" s="370"/>
      <c r="M13" s="370"/>
      <c r="N13" s="101">
        <f t="shared" si="4"/>
        <v>0</v>
      </c>
      <c r="O13" s="114"/>
      <c r="P13" s="366" t="s">
        <v>351</v>
      </c>
      <c r="Q13" s="367"/>
      <c r="R13" s="368"/>
      <c r="S13" s="367"/>
      <c r="T13" s="863"/>
      <c r="U13" s="864"/>
      <c r="V13" s="369" t="e">
        <f t="shared" si="1"/>
        <v>#DIV/0!</v>
      </c>
    </row>
    <row r="14" spans="2:22" ht="15.4" customHeight="1" x14ac:dyDescent="0.15">
      <c r="B14" s="763"/>
      <c r="C14" s="205" t="s">
        <v>328</v>
      </c>
      <c r="D14" s="205">
        <f>948.1+263.9</f>
        <v>1212</v>
      </c>
      <c r="E14" s="298" t="s">
        <v>348</v>
      </c>
      <c r="F14" s="205">
        <v>84.7</v>
      </c>
      <c r="G14" s="101">
        <f>D14*F14</f>
        <v>102656.40000000001</v>
      </c>
      <c r="H14" s="109"/>
      <c r="I14" s="763"/>
      <c r="J14" s="205"/>
      <c r="K14" s="370"/>
      <c r="L14" s="370"/>
      <c r="M14" s="370"/>
      <c r="N14" s="101">
        <f t="shared" si="4"/>
        <v>0</v>
      </c>
      <c r="O14" s="114"/>
      <c r="P14" s="366" t="s">
        <v>352</v>
      </c>
      <c r="Q14" s="367"/>
      <c r="R14" s="368"/>
      <c r="S14" s="367"/>
      <c r="T14" s="863"/>
      <c r="U14" s="864"/>
      <c r="V14" s="369" t="e">
        <f t="shared" si="1"/>
        <v>#DIV/0!</v>
      </c>
    </row>
    <row r="15" spans="2:22" ht="15.4" customHeight="1" thickBot="1" x14ac:dyDescent="0.2">
      <c r="B15" s="763"/>
      <c r="C15" s="205" t="s">
        <v>382</v>
      </c>
      <c r="D15" s="205"/>
      <c r="E15" s="205"/>
      <c r="F15" s="205"/>
      <c r="G15" s="101">
        <f>(G12+G13+G14)*0.3</f>
        <v>48848.184000000001</v>
      </c>
      <c r="H15" s="109"/>
      <c r="I15" s="862"/>
      <c r="J15" s="373" t="s">
        <v>353</v>
      </c>
      <c r="K15" s="374">
        <f t="shared" ref="K15:L15" si="5">SUM(K11:K14)</f>
        <v>0</v>
      </c>
      <c r="L15" s="374">
        <f t="shared" si="5"/>
        <v>0</v>
      </c>
      <c r="M15" s="374"/>
      <c r="N15" s="375">
        <f>SUM(N11:N14)</f>
        <v>0</v>
      </c>
      <c r="O15" s="114"/>
      <c r="P15" s="366" t="s">
        <v>354</v>
      </c>
      <c r="Q15" s="367"/>
      <c r="R15" s="368"/>
      <c r="S15" s="367"/>
      <c r="T15" s="863"/>
      <c r="U15" s="864"/>
      <c r="V15" s="369" t="e">
        <f t="shared" si="1"/>
        <v>#DIV/0!</v>
      </c>
    </row>
    <row r="16" spans="2:22" ht="15.4" customHeight="1" thickTop="1" thickBot="1" x14ac:dyDescent="0.2">
      <c r="B16" s="862"/>
      <c r="C16" s="102" t="s">
        <v>82</v>
      </c>
      <c r="D16" s="103"/>
      <c r="E16" s="103"/>
      <c r="F16" s="103"/>
      <c r="G16" s="104">
        <f>SUM(G12:G15)</f>
        <v>211675.46400000001</v>
      </c>
      <c r="H16" s="109"/>
      <c r="I16" s="874" t="s">
        <v>91</v>
      </c>
      <c r="J16" s="205"/>
      <c r="K16" s="370"/>
      <c r="L16" s="370"/>
      <c r="M16" s="370"/>
      <c r="N16" s="101">
        <f>K16*L16*M16</f>
        <v>0</v>
      </c>
      <c r="O16" s="114"/>
      <c r="P16" s="366"/>
      <c r="Q16" s="367"/>
      <c r="R16" s="368"/>
      <c r="S16" s="367"/>
      <c r="T16" s="863"/>
      <c r="U16" s="864"/>
      <c r="V16" s="369"/>
    </row>
    <row r="17" spans="2:22" ht="15.4" customHeight="1" thickTop="1" x14ac:dyDescent="0.15">
      <c r="B17" s="879" t="s">
        <v>304</v>
      </c>
      <c r="C17" s="205" t="s">
        <v>355</v>
      </c>
      <c r="D17" s="205">
        <v>7</v>
      </c>
      <c r="E17" s="298" t="s">
        <v>83</v>
      </c>
      <c r="F17" s="205">
        <v>5460</v>
      </c>
      <c r="G17" s="101">
        <f t="shared" ref="G17" si="6">D17*F17</f>
        <v>38220</v>
      </c>
      <c r="H17" s="109"/>
      <c r="I17" s="763"/>
      <c r="J17" s="205"/>
      <c r="K17" s="370"/>
      <c r="L17" s="370"/>
      <c r="M17" s="370"/>
      <c r="N17" s="101">
        <f t="shared" ref="N17:N18" si="7">K17*L17*M17</f>
        <v>0</v>
      </c>
      <c r="O17" s="114"/>
      <c r="P17" s="366"/>
      <c r="Q17" s="367"/>
      <c r="R17" s="368"/>
      <c r="S17" s="367"/>
      <c r="T17" s="863"/>
      <c r="U17" s="864"/>
      <c r="V17" s="369"/>
    </row>
    <row r="18" spans="2:22" ht="15.4" customHeight="1" x14ac:dyDescent="0.15">
      <c r="B18" s="880"/>
      <c r="C18" s="205" t="s">
        <v>356</v>
      </c>
      <c r="D18" s="205">
        <v>12</v>
      </c>
      <c r="E18" s="298" t="s">
        <v>83</v>
      </c>
      <c r="F18" s="205">
        <v>9550</v>
      </c>
      <c r="G18" s="101">
        <f>D18*F18</f>
        <v>114600</v>
      </c>
      <c r="H18" s="109"/>
      <c r="I18" s="763"/>
      <c r="J18" s="205"/>
      <c r="K18" s="370"/>
      <c r="L18" s="370"/>
      <c r="M18" s="370"/>
      <c r="N18" s="101">
        <f t="shared" si="7"/>
        <v>0</v>
      </c>
      <c r="O18" s="114"/>
      <c r="P18" s="366"/>
      <c r="Q18" s="367"/>
      <c r="R18" s="368"/>
      <c r="S18" s="367"/>
      <c r="T18" s="863"/>
      <c r="U18" s="864"/>
      <c r="V18" s="369"/>
    </row>
    <row r="19" spans="2:22" ht="15.4" customHeight="1" thickBot="1" x14ac:dyDescent="0.2">
      <c r="B19" s="880"/>
      <c r="C19" s="205"/>
      <c r="D19" s="205"/>
      <c r="E19" s="205"/>
      <c r="F19" s="205"/>
      <c r="G19" s="101">
        <f t="shared" ref="G19" si="8">D19*F19</f>
        <v>0</v>
      </c>
      <c r="H19" s="109"/>
      <c r="I19" s="862"/>
      <c r="J19" s="373" t="s">
        <v>357</v>
      </c>
      <c r="K19" s="374">
        <f>SUM(K16:K18)</f>
        <v>0</v>
      </c>
      <c r="L19" s="376">
        <f>SUM(L16:L18)</f>
        <v>0</v>
      </c>
      <c r="M19" s="377"/>
      <c r="N19" s="375">
        <f>SUM(N16:N18)</f>
        <v>0</v>
      </c>
      <c r="O19" s="114"/>
      <c r="P19" s="366"/>
      <c r="Q19" s="367"/>
      <c r="R19" s="368"/>
      <c r="S19" s="367"/>
      <c r="T19" s="863"/>
      <c r="U19" s="864"/>
      <c r="V19" s="369"/>
    </row>
    <row r="20" spans="2:22" ht="15.4" customHeight="1" thickTop="1" thickBot="1" x14ac:dyDescent="0.2">
      <c r="B20" s="881"/>
      <c r="C20" s="102" t="s">
        <v>82</v>
      </c>
      <c r="D20" s="103"/>
      <c r="E20" s="103"/>
      <c r="F20" s="103"/>
      <c r="G20" s="104">
        <f>SUM(G17:G19)</f>
        <v>152820</v>
      </c>
      <c r="H20" s="109"/>
      <c r="I20" s="874" t="s">
        <v>92</v>
      </c>
      <c r="J20" s="205"/>
      <c r="K20" s="370"/>
      <c r="L20" s="370"/>
      <c r="M20" s="370"/>
      <c r="N20" s="101">
        <f>K20*L20*M20</f>
        <v>0</v>
      </c>
      <c r="O20" s="114"/>
      <c r="P20" s="378" t="s">
        <v>22</v>
      </c>
      <c r="Q20" s="379"/>
      <c r="R20" s="379"/>
      <c r="S20" s="379"/>
      <c r="T20" s="882"/>
      <c r="U20" s="883"/>
      <c r="V20" s="380" t="e">
        <f>SUM(V5:V19)</f>
        <v>#DIV/0!</v>
      </c>
    </row>
    <row r="21" spans="2:22" ht="15.4" customHeight="1" thickTop="1" x14ac:dyDescent="0.15">
      <c r="B21" s="884" t="s">
        <v>305</v>
      </c>
      <c r="C21" s="205" t="s">
        <v>299</v>
      </c>
      <c r="D21" s="205">
        <v>17</v>
      </c>
      <c r="E21" s="298" t="s">
        <v>83</v>
      </c>
      <c r="F21" s="205">
        <v>5460</v>
      </c>
      <c r="G21" s="101">
        <f t="shared" ref="G21" si="9">D21*F21</f>
        <v>92820</v>
      </c>
      <c r="H21" s="109"/>
      <c r="I21" s="763"/>
      <c r="J21" s="205"/>
      <c r="K21" s="370"/>
      <c r="L21" s="370"/>
      <c r="M21" s="370"/>
      <c r="N21" s="101">
        <f t="shared" ref="N21:N22" si="10">K21*L21*M21</f>
        <v>0</v>
      </c>
      <c r="O21" s="114"/>
    </row>
    <row r="22" spans="2:22" ht="15.4" customHeight="1" thickBot="1" x14ac:dyDescent="0.2">
      <c r="B22" s="880"/>
      <c r="C22" s="381" t="s">
        <v>300</v>
      </c>
      <c r="D22" s="381">
        <v>14</v>
      </c>
      <c r="E22" s="382" t="s">
        <v>83</v>
      </c>
      <c r="F22" s="381">
        <v>9550</v>
      </c>
      <c r="G22" s="101">
        <f>D22*F22</f>
        <v>133700</v>
      </c>
      <c r="H22" s="109"/>
      <c r="I22" s="763"/>
      <c r="J22" s="205"/>
      <c r="K22" s="370"/>
      <c r="L22" s="370"/>
      <c r="M22" s="370"/>
      <c r="N22" s="101">
        <f t="shared" si="10"/>
        <v>0</v>
      </c>
      <c r="O22" s="114"/>
      <c r="P22" s="113" t="s">
        <v>128</v>
      </c>
    </row>
    <row r="23" spans="2:22" ht="15.4" customHeight="1" thickBot="1" x14ac:dyDescent="0.2">
      <c r="B23" s="885"/>
      <c r="C23" s="102" t="s">
        <v>82</v>
      </c>
      <c r="D23" s="103"/>
      <c r="E23" s="103"/>
      <c r="F23" s="103"/>
      <c r="G23" s="104">
        <f>SUM(G21:G22)</f>
        <v>226520</v>
      </c>
      <c r="H23" s="109"/>
      <c r="I23" s="862"/>
      <c r="J23" s="373" t="s">
        <v>358</v>
      </c>
      <c r="K23" s="374">
        <f>SUM(K20:K22)</f>
        <v>0</v>
      </c>
      <c r="L23" s="376">
        <f>SUM(L20:L22)</f>
        <v>0</v>
      </c>
      <c r="M23" s="377"/>
      <c r="N23" s="375">
        <f>SUM(N20:N22)</f>
        <v>0</v>
      </c>
      <c r="O23" s="114"/>
      <c r="P23" s="362" t="s">
        <v>98</v>
      </c>
      <c r="Q23" s="363" t="s">
        <v>94</v>
      </c>
      <c r="R23" s="363" t="s">
        <v>95</v>
      </c>
      <c r="S23" s="363" t="s">
        <v>359</v>
      </c>
      <c r="T23" s="363" t="s">
        <v>96</v>
      </c>
      <c r="U23" s="383" t="s">
        <v>142</v>
      </c>
      <c r="V23" s="364" t="s">
        <v>97</v>
      </c>
    </row>
    <row r="24" spans="2:22" ht="15.4" customHeight="1" thickTop="1" thickBot="1" x14ac:dyDescent="0.2">
      <c r="B24" s="889" t="s">
        <v>173</v>
      </c>
      <c r="C24" s="890"/>
      <c r="D24" s="105"/>
      <c r="E24" s="105"/>
      <c r="F24" s="111"/>
      <c r="G24" s="106">
        <f>G7+G11+G16+G20+G23</f>
        <v>1619565.4639999999</v>
      </c>
      <c r="I24" s="874" t="s">
        <v>144</v>
      </c>
      <c r="J24" s="205"/>
      <c r="K24" s="370"/>
      <c r="L24" s="370"/>
      <c r="M24" s="370"/>
      <c r="N24" s="101">
        <f>K24*L24*M24</f>
        <v>0</v>
      </c>
      <c r="O24" s="114"/>
      <c r="P24" s="366" t="s">
        <v>339</v>
      </c>
      <c r="Q24" s="367"/>
      <c r="R24" s="384"/>
      <c r="S24" s="367"/>
      <c r="T24" s="367"/>
      <c r="U24" s="385"/>
      <c r="V24" s="369" t="e">
        <f>Q24*S24/T24/U24*10</f>
        <v>#DIV/0!</v>
      </c>
    </row>
    <row r="25" spans="2:22" ht="15.4" customHeight="1" x14ac:dyDescent="0.15">
      <c r="H25" s="110"/>
      <c r="I25" s="763"/>
      <c r="J25" s="205"/>
      <c r="K25" s="370"/>
      <c r="L25" s="370"/>
      <c r="M25" s="370"/>
      <c r="N25" s="101">
        <f t="shared" ref="N25:N26" si="11">K25*L25*M25</f>
        <v>0</v>
      </c>
      <c r="O25" s="114"/>
      <c r="P25" s="366" t="s">
        <v>360</v>
      </c>
      <c r="Q25" s="367"/>
      <c r="R25" s="368"/>
      <c r="S25" s="367"/>
      <c r="T25" s="367"/>
      <c r="U25" s="385"/>
      <c r="V25" s="369" t="e">
        <f t="shared" ref="V25:V27" si="12">Q25*S25/T25/U25*10</f>
        <v>#DIV/0!</v>
      </c>
    </row>
    <row r="26" spans="2:22" ht="15.4" customHeight="1" thickBot="1" x14ac:dyDescent="0.2">
      <c r="B26" s="5" t="s">
        <v>166</v>
      </c>
      <c r="C26" s="5"/>
      <c r="D26" s="30"/>
      <c r="E26" s="5"/>
      <c r="F26" s="30"/>
      <c r="G26" s="31"/>
      <c r="H26" s="108"/>
      <c r="I26" s="763"/>
      <c r="J26" s="205"/>
      <c r="K26" s="370"/>
      <c r="L26" s="370"/>
      <c r="M26" s="370"/>
      <c r="N26" s="101">
        <f t="shared" si="11"/>
        <v>0</v>
      </c>
      <c r="O26" s="114"/>
      <c r="P26" s="366" t="s">
        <v>361</v>
      </c>
      <c r="Q26" s="367"/>
      <c r="R26" s="384"/>
      <c r="S26" s="367"/>
      <c r="T26" s="367"/>
      <c r="U26" s="385"/>
      <c r="V26" s="369" t="e">
        <f t="shared" si="12"/>
        <v>#DIV/0!</v>
      </c>
    </row>
    <row r="27" spans="2:22" ht="15.4" customHeight="1" thickBot="1" x14ac:dyDescent="0.2">
      <c r="B27" s="358" t="s">
        <v>48</v>
      </c>
      <c r="C27" s="359" t="s">
        <v>75</v>
      </c>
      <c r="D27" s="359" t="s">
        <v>76</v>
      </c>
      <c r="E27" s="359" t="s">
        <v>77</v>
      </c>
      <c r="F27" s="359" t="s">
        <v>17</v>
      </c>
      <c r="G27" s="360" t="s">
        <v>78</v>
      </c>
      <c r="H27" s="109"/>
      <c r="I27" s="862"/>
      <c r="J27" s="373" t="s">
        <v>362</v>
      </c>
      <c r="K27" s="374">
        <f>SUM(K24:K26)</f>
        <v>0</v>
      </c>
      <c r="L27" s="376">
        <f>SUM(L24:L26)</f>
        <v>0</v>
      </c>
      <c r="M27" s="377"/>
      <c r="N27" s="375">
        <f>SUM(N24:N26)</f>
        <v>0</v>
      </c>
      <c r="O27" s="114"/>
      <c r="P27" s="366" t="s">
        <v>363</v>
      </c>
      <c r="Q27" s="367"/>
      <c r="R27" s="384"/>
      <c r="S27" s="367"/>
      <c r="T27" s="367"/>
      <c r="U27" s="385"/>
      <c r="V27" s="369" t="e">
        <f t="shared" si="12"/>
        <v>#DIV/0!</v>
      </c>
    </row>
    <row r="28" spans="2:22" ht="15.4" customHeight="1" thickTop="1" x14ac:dyDescent="0.15">
      <c r="B28" s="771" t="s">
        <v>167</v>
      </c>
      <c r="C28" s="205" t="s">
        <v>485</v>
      </c>
      <c r="D28" s="205">
        <f>13725+33260</f>
        <v>46985</v>
      </c>
      <c r="E28" s="298" t="s">
        <v>364</v>
      </c>
      <c r="F28" s="205">
        <v>60</v>
      </c>
      <c r="G28" s="365">
        <f>ROUNDDOWN(D28*F28,0)</f>
        <v>2819100</v>
      </c>
      <c r="H28" s="109"/>
      <c r="I28" s="874" t="s">
        <v>88</v>
      </c>
      <c r="J28" s="205"/>
      <c r="K28" s="370"/>
      <c r="L28" s="370"/>
      <c r="M28" s="370"/>
      <c r="N28" s="101">
        <f>K28*L28*M28</f>
        <v>0</v>
      </c>
      <c r="O28" s="114"/>
      <c r="P28" s="366"/>
      <c r="Q28" s="367"/>
      <c r="R28" s="384"/>
      <c r="S28" s="367"/>
      <c r="T28" s="367"/>
      <c r="U28" s="385"/>
      <c r="V28" s="369"/>
    </row>
    <row r="29" spans="2:22" ht="15.4" customHeight="1" x14ac:dyDescent="0.15">
      <c r="B29" s="763"/>
      <c r="C29" s="205"/>
      <c r="D29" s="205"/>
      <c r="E29" s="298"/>
      <c r="F29" s="205"/>
      <c r="G29" s="101">
        <f t="shared" ref="G29:G37" si="13">D29*F29</f>
        <v>0</v>
      </c>
      <c r="H29" s="109"/>
      <c r="I29" s="763"/>
      <c r="J29" s="205"/>
      <c r="K29" s="370"/>
      <c r="L29" s="370"/>
      <c r="M29" s="370"/>
      <c r="N29" s="101">
        <f t="shared" ref="N29:N30" si="14">K29*L29*M29</f>
        <v>0</v>
      </c>
      <c r="O29" s="29"/>
      <c r="P29" s="366"/>
      <c r="Q29" s="367"/>
      <c r="R29" s="384"/>
      <c r="S29" s="367"/>
      <c r="T29" s="367"/>
      <c r="U29" s="385"/>
      <c r="V29" s="369"/>
    </row>
    <row r="30" spans="2:22" ht="15.4" customHeight="1" x14ac:dyDescent="0.15">
      <c r="B30" s="763"/>
      <c r="C30" s="205"/>
      <c r="D30" s="205"/>
      <c r="E30" s="298"/>
      <c r="F30" s="205"/>
      <c r="G30" s="101">
        <f t="shared" si="13"/>
        <v>0</v>
      </c>
      <c r="H30" s="109"/>
      <c r="I30" s="763"/>
      <c r="J30" s="205"/>
      <c r="K30" s="370"/>
      <c r="L30" s="370"/>
      <c r="M30" s="370"/>
      <c r="N30" s="101">
        <f t="shared" si="14"/>
        <v>0</v>
      </c>
      <c r="P30" s="366"/>
      <c r="Q30" s="367"/>
      <c r="R30" s="368"/>
      <c r="S30" s="367"/>
      <c r="T30" s="367"/>
      <c r="U30" s="385"/>
      <c r="V30" s="369"/>
    </row>
    <row r="31" spans="2:22" ht="15.4" customHeight="1" thickBot="1" x14ac:dyDescent="0.2">
      <c r="B31" s="763"/>
      <c r="C31" s="205"/>
      <c r="D31" s="205"/>
      <c r="E31" s="298"/>
      <c r="F31" s="205"/>
      <c r="G31" s="101">
        <f t="shared" si="13"/>
        <v>0</v>
      </c>
      <c r="H31" s="109"/>
      <c r="I31" s="891"/>
      <c r="J31" s="386" t="s">
        <v>353</v>
      </c>
      <c r="K31" s="387">
        <f>SUM(K28:K30)</f>
        <v>0</v>
      </c>
      <c r="L31" s="388">
        <f>SUM(L28:L30)</f>
        <v>0</v>
      </c>
      <c r="M31" s="389"/>
      <c r="N31" s="390">
        <f>SUM(N28:N30)</f>
        <v>0</v>
      </c>
      <c r="P31" s="366"/>
      <c r="Q31" s="367"/>
      <c r="R31" s="368"/>
      <c r="S31" s="367"/>
      <c r="T31" s="367"/>
      <c r="U31" s="385"/>
      <c r="V31" s="369"/>
    </row>
    <row r="32" spans="2:22" ht="15.4" customHeight="1" x14ac:dyDescent="0.15">
      <c r="B32" s="763"/>
      <c r="C32" s="205"/>
      <c r="D32" s="205"/>
      <c r="E32" s="298"/>
      <c r="F32" s="205"/>
      <c r="G32" s="101">
        <f t="shared" si="13"/>
        <v>0</v>
      </c>
      <c r="H32" s="109"/>
      <c r="I32" s="97"/>
      <c r="J32" s="97"/>
      <c r="K32" s="97"/>
      <c r="L32" s="97"/>
      <c r="M32" s="97"/>
      <c r="N32" s="97"/>
      <c r="P32" s="366"/>
      <c r="Q32" s="367"/>
      <c r="R32" s="368"/>
      <c r="S32" s="367"/>
      <c r="T32" s="367"/>
      <c r="U32" s="385"/>
      <c r="V32" s="369"/>
    </row>
    <row r="33" spans="2:22" ht="15.4" customHeight="1" thickBot="1" x14ac:dyDescent="0.2">
      <c r="B33" s="763"/>
      <c r="C33" s="205"/>
      <c r="D33" s="205"/>
      <c r="E33" s="298"/>
      <c r="F33" s="205"/>
      <c r="G33" s="101">
        <f t="shared" si="13"/>
        <v>0</v>
      </c>
      <c r="H33" s="109"/>
      <c r="I33" s="91" t="s">
        <v>126</v>
      </c>
      <c r="J33" s="84"/>
      <c r="K33" s="84"/>
      <c r="L33" s="84"/>
      <c r="M33" s="84"/>
      <c r="P33" s="366"/>
      <c r="Q33" s="367"/>
      <c r="R33" s="368"/>
      <c r="S33" s="367"/>
      <c r="T33" s="367"/>
      <c r="U33" s="385"/>
      <c r="V33" s="369"/>
    </row>
    <row r="34" spans="2:22" ht="15.4" customHeight="1" thickBot="1" x14ac:dyDescent="0.2">
      <c r="B34" s="763"/>
      <c r="C34" s="205"/>
      <c r="D34" s="205"/>
      <c r="E34" s="298"/>
      <c r="F34" s="205"/>
      <c r="G34" s="101">
        <f t="shared" si="13"/>
        <v>0</v>
      </c>
      <c r="H34" s="109"/>
      <c r="I34" s="154" t="s">
        <v>115</v>
      </c>
      <c r="J34" s="391" t="s">
        <v>2</v>
      </c>
      <c r="K34" s="892" t="s">
        <v>116</v>
      </c>
      <c r="L34" s="893"/>
      <c r="M34" s="392" t="s">
        <v>142</v>
      </c>
      <c r="N34" s="393" t="s">
        <v>365</v>
      </c>
      <c r="P34" s="394" t="s">
        <v>120</v>
      </c>
      <c r="Q34" s="379"/>
      <c r="R34" s="379"/>
      <c r="S34" s="379"/>
      <c r="T34" s="379"/>
      <c r="U34" s="395"/>
      <c r="V34" s="380" t="e">
        <f>SUM(V24:V33)</f>
        <v>#DIV/0!</v>
      </c>
    </row>
    <row r="35" spans="2:22" ht="15.4" customHeight="1" x14ac:dyDescent="0.15">
      <c r="B35" s="763"/>
      <c r="C35" s="205"/>
      <c r="D35" s="205"/>
      <c r="E35" s="298"/>
      <c r="F35" s="205"/>
      <c r="G35" s="101">
        <f t="shared" si="13"/>
        <v>0</v>
      </c>
      <c r="H35" s="109"/>
      <c r="I35" s="894" t="s">
        <v>0</v>
      </c>
      <c r="J35" s="452" t="s">
        <v>415</v>
      </c>
      <c r="K35" s="897"/>
      <c r="L35" s="897"/>
      <c r="M35" s="453"/>
      <c r="N35" s="454">
        <f>+('６　固定資本装備と減価償却費 '!G5+'６　固定資本装備と減価償却費 '!G6+'６　固定資本装備と減価償却費 '!G7+'６　固定資本装備と減価償却費 '!G9)/2*0.3*0.014</f>
        <v>103307.40000000001</v>
      </c>
    </row>
    <row r="36" spans="2:22" ht="15.4" customHeight="1" thickBot="1" x14ac:dyDescent="0.2">
      <c r="B36" s="763"/>
      <c r="C36" s="205"/>
      <c r="D36" s="205"/>
      <c r="E36" s="298"/>
      <c r="F36" s="205"/>
      <c r="G36" s="101">
        <f t="shared" si="13"/>
        <v>0</v>
      </c>
      <c r="H36" s="109"/>
      <c r="I36" s="895"/>
      <c r="J36" s="107"/>
      <c r="K36" s="898"/>
      <c r="L36" s="898"/>
      <c r="M36" s="346"/>
      <c r="N36" s="160"/>
      <c r="P36" s="91" t="s">
        <v>121</v>
      </c>
      <c r="Q36" s="84"/>
      <c r="R36" s="84"/>
      <c r="S36" s="84"/>
      <c r="T36" s="84"/>
    </row>
    <row r="37" spans="2:22" ht="15.4" customHeight="1" x14ac:dyDescent="0.15">
      <c r="B37" s="763"/>
      <c r="C37" s="205"/>
      <c r="D37" s="205"/>
      <c r="E37" s="298"/>
      <c r="F37" s="205"/>
      <c r="G37" s="101">
        <f t="shared" si="13"/>
        <v>0</v>
      </c>
      <c r="H37" s="109"/>
      <c r="I37" s="895"/>
      <c r="J37" s="107"/>
      <c r="K37" s="898"/>
      <c r="L37" s="898"/>
      <c r="M37" s="346"/>
      <c r="N37" s="160"/>
      <c r="O37" s="113"/>
      <c r="P37" s="154" t="s">
        <v>113</v>
      </c>
      <c r="Q37" s="901" t="s">
        <v>122</v>
      </c>
      <c r="R37" s="901"/>
      <c r="S37" s="345" t="s">
        <v>215</v>
      </c>
      <c r="T37" s="345" t="s">
        <v>124</v>
      </c>
      <c r="U37" s="198" t="s">
        <v>212</v>
      </c>
      <c r="V37" s="165" t="s">
        <v>366</v>
      </c>
    </row>
    <row r="38" spans="2:22" ht="15.4" customHeight="1" thickBot="1" x14ac:dyDescent="0.2">
      <c r="B38" s="862"/>
      <c r="C38" s="371" t="s">
        <v>81</v>
      </c>
      <c r="D38" s="371"/>
      <c r="E38" s="371"/>
      <c r="F38" s="371"/>
      <c r="G38" s="372">
        <f>SUM(G28:G37)</f>
        <v>2819100</v>
      </c>
      <c r="H38" s="109"/>
      <c r="I38" s="895"/>
      <c r="J38" s="107"/>
      <c r="K38" s="898"/>
      <c r="L38" s="898"/>
      <c r="M38" s="346"/>
      <c r="N38" s="160"/>
      <c r="O38" s="113"/>
      <c r="P38" s="902" t="s">
        <v>123</v>
      </c>
      <c r="Q38" s="157" t="s">
        <v>211</v>
      </c>
      <c r="R38" s="167" t="s">
        <v>213</v>
      </c>
      <c r="S38" s="158">
        <v>17140</v>
      </c>
      <c r="T38" s="168"/>
      <c r="U38" s="158">
        <v>33</v>
      </c>
      <c r="V38" s="160">
        <f>S38*U38</f>
        <v>565620</v>
      </c>
    </row>
    <row r="39" spans="2:22" ht="15.4" customHeight="1" thickTop="1" x14ac:dyDescent="0.15">
      <c r="B39" s="874" t="s">
        <v>168</v>
      </c>
      <c r="C39" s="205" t="s">
        <v>486</v>
      </c>
      <c r="D39" s="205">
        <v>20430</v>
      </c>
      <c r="E39" s="298" t="s">
        <v>367</v>
      </c>
      <c r="F39" s="205">
        <v>71.3</v>
      </c>
      <c r="G39" s="101">
        <f t="shared" ref="G39:G41" si="15">ROUNDDOWN(D39*F39,0)</f>
        <v>1456659</v>
      </c>
      <c r="H39" s="109"/>
      <c r="I39" s="895"/>
      <c r="J39" s="107"/>
      <c r="K39" s="898"/>
      <c r="L39" s="898"/>
      <c r="M39" s="346"/>
      <c r="N39" s="160"/>
      <c r="O39" s="113"/>
      <c r="P39" s="903"/>
      <c r="Q39" s="157"/>
      <c r="R39" s="167" t="s">
        <v>214</v>
      </c>
      <c r="S39" s="158">
        <v>4433</v>
      </c>
      <c r="T39" s="168"/>
      <c r="U39" s="158">
        <v>20</v>
      </c>
      <c r="V39" s="160">
        <f>S39*U39</f>
        <v>88660</v>
      </c>
    </row>
    <row r="40" spans="2:22" ht="15.4" customHeight="1" x14ac:dyDescent="0.15">
      <c r="B40" s="763"/>
      <c r="C40" s="205" t="s">
        <v>487</v>
      </c>
      <c r="D40" s="205">
        <v>20915</v>
      </c>
      <c r="E40" s="298" t="s">
        <v>367</v>
      </c>
      <c r="F40" s="205">
        <v>65.099999999999994</v>
      </c>
      <c r="G40" s="101">
        <f t="shared" si="15"/>
        <v>1361566</v>
      </c>
      <c r="H40" s="109"/>
      <c r="I40" s="895"/>
      <c r="J40" s="452" t="s">
        <v>114</v>
      </c>
      <c r="K40" s="897"/>
      <c r="L40" s="897"/>
      <c r="M40" s="453">
        <v>100</v>
      </c>
      <c r="N40" s="454">
        <v>1960</v>
      </c>
      <c r="O40" s="113"/>
      <c r="P40" s="903"/>
      <c r="Q40" s="157"/>
      <c r="R40" s="167" t="s">
        <v>368</v>
      </c>
      <c r="S40" s="158">
        <v>7441</v>
      </c>
      <c r="T40" s="168"/>
      <c r="U40" s="158">
        <v>150</v>
      </c>
      <c r="V40" s="160">
        <f>S40*U40</f>
        <v>1116150</v>
      </c>
    </row>
    <row r="41" spans="2:22" ht="15.4" customHeight="1" x14ac:dyDescent="0.15">
      <c r="B41" s="763"/>
      <c r="C41" s="205" t="s">
        <v>490</v>
      </c>
      <c r="D41" s="205">
        <v>3285</v>
      </c>
      <c r="E41" s="298" t="s">
        <v>337</v>
      </c>
      <c r="F41" s="205">
        <v>60.88</v>
      </c>
      <c r="G41" s="101">
        <f t="shared" si="15"/>
        <v>199990</v>
      </c>
      <c r="H41" s="109"/>
      <c r="I41" s="895"/>
      <c r="J41" s="107"/>
      <c r="K41" s="898"/>
      <c r="L41" s="898"/>
      <c r="M41" s="346"/>
      <c r="N41" s="160"/>
      <c r="O41" s="113"/>
      <c r="P41" s="903"/>
      <c r="Q41" s="157"/>
      <c r="R41" s="167"/>
      <c r="S41" s="158"/>
      <c r="T41" s="168"/>
      <c r="U41" s="158"/>
      <c r="V41" s="160"/>
    </row>
    <row r="42" spans="2:22" ht="15.4" customHeight="1" thickBot="1" x14ac:dyDescent="0.2">
      <c r="B42" s="763"/>
      <c r="C42" s="205" t="s">
        <v>488</v>
      </c>
      <c r="D42" s="205">
        <v>88092</v>
      </c>
      <c r="E42" s="298" t="s">
        <v>337</v>
      </c>
      <c r="F42" s="205">
        <v>64</v>
      </c>
      <c r="G42" s="101">
        <f t="shared" ref="G42:G52" si="16">D42*F42</f>
        <v>5637888</v>
      </c>
      <c r="H42" s="109"/>
      <c r="I42" s="896"/>
      <c r="J42" s="155" t="s">
        <v>82</v>
      </c>
      <c r="K42" s="899"/>
      <c r="L42" s="900"/>
      <c r="M42" s="156"/>
      <c r="N42" s="159">
        <f>SUM(N35:N41)</f>
        <v>105267.40000000001</v>
      </c>
      <c r="O42" s="113"/>
      <c r="P42" s="903"/>
      <c r="Q42" s="157"/>
      <c r="R42" s="167"/>
      <c r="S42" s="158"/>
      <c r="T42" s="168"/>
      <c r="U42" s="158"/>
      <c r="V42" s="160"/>
    </row>
    <row r="43" spans="2:22" ht="15.4" customHeight="1" thickTop="1" x14ac:dyDescent="0.15">
      <c r="B43" s="763"/>
      <c r="C43" s="205" t="s">
        <v>489</v>
      </c>
      <c r="D43" s="205">
        <v>302100</v>
      </c>
      <c r="E43" s="298" t="s">
        <v>337</v>
      </c>
      <c r="F43" s="205">
        <v>60</v>
      </c>
      <c r="G43" s="101">
        <f t="shared" si="16"/>
        <v>18126000</v>
      </c>
      <c r="H43" s="109"/>
      <c r="I43" s="875" t="s">
        <v>117</v>
      </c>
      <c r="J43" s="455" t="s">
        <v>369</v>
      </c>
      <c r="K43" s="878"/>
      <c r="L43" s="878"/>
      <c r="M43" s="456"/>
      <c r="N43" s="457">
        <v>4100</v>
      </c>
      <c r="O43" s="113"/>
      <c r="P43" s="903"/>
      <c r="Q43" s="157"/>
      <c r="R43" s="167"/>
      <c r="S43" s="158"/>
      <c r="T43" s="168"/>
      <c r="U43" s="158"/>
      <c r="V43" s="160"/>
    </row>
    <row r="44" spans="2:22" ht="15.4" customHeight="1" thickBot="1" x14ac:dyDescent="0.2">
      <c r="B44" s="763"/>
      <c r="C44" s="205"/>
      <c r="D44" s="205"/>
      <c r="E44" s="298"/>
      <c r="F44" s="205"/>
      <c r="G44" s="101">
        <f t="shared" si="16"/>
        <v>0</v>
      </c>
      <c r="H44" s="109"/>
      <c r="I44" s="876"/>
      <c r="J44" s="157"/>
      <c r="K44" s="898"/>
      <c r="L44" s="898"/>
      <c r="M44" s="346"/>
      <c r="N44" s="160"/>
      <c r="O44" s="113"/>
      <c r="P44" s="904"/>
      <c r="Q44" s="161" t="s">
        <v>125</v>
      </c>
      <c r="R44" s="162"/>
      <c r="S44" s="162"/>
      <c r="T44" s="162"/>
      <c r="U44" s="162"/>
      <c r="V44" s="163">
        <f>SUM(V38:V43)</f>
        <v>1770430</v>
      </c>
    </row>
    <row r="45" spans="2:22" ht="15.4" customHeight="1" thickTop="1" x14ac:dyDescent="0.15">
      <c r="B45" s="763"/>
      <c r="C45" s="205"/>
      <c r="D45" s="205"/>
      <c r="E45" s="298"/>
      <c r="F45" s="205"/>
      <c r="G45" s="101">
        <f t="shared" si="16"/>
        <v>0</v>
      </c>
      <c r="H45" s="109"/>
      <c r="I45" s="876"/>
      <c r="J45" s="107"/>
      <c r="K45" s="898"/>
      <c r="L45" s="898"/>
      <c r="M45" s="346"/>
      <c r="N45" s="160"/>
      <c r="O45" s="113"/>
      <c r="P45" s="905" t="s">
        <v>129</v>
      </c>
      <c r="Q45" s="908" t="s">
        <v>130</v>
      </c>
      <c r="R45" s="460" t="s">
        <v>131</v>
      </c>
      <c r="S45" s="461"/>
      <c r="T45" s="462">
        <v>1</v>
      </c>
      <c r="U45" s="461"/>
      <c r="V45" s="463">
        <v>24040</v>
      </c>
    </row>
    <row r="46" spans="2:22" ht="15.4" customHeight="1" thickBot="1" x14ac:dyDescent="0.2">
      <c r="B46" s="763"/>
      <c r="C46" s="205"/>
      <c r="D46" s="205"/>
      <c r="E46" s="205"/>
      <c r="F46" s="205"/>
      <c r="G46" s="101">
        <f t="shared" si="16"/>
        <v>0</v>
      </c>
      <c r="H46" s="109"/>
      <c r="I46" s="877"/>
      <c r="J46" s="155" t="s">
        <v>82</v>
      </c>
      <c r="K46" s="899"/>
      <c r="L46" s="900"/>
      <c r="M46" s="156"/>
      <c r="N46" s="159">
        <f>SUM(N43:N45)</f>
        <v>4100</v>
      </c>
      <c r="O46" s="113"/>
      <c r="P46" s="906"/>
      <c r="Q46" s="909"/>
      <c r="R46" s="460"/>
      <c r="S46" s="461"/>
      <c r="T46" s="462"/>
      <c r="U46" s="461"/>
      <c r="V46" s="463"/>
    </row>
    <row r="47" spans="2:22" ht="15.4" customHeight="1" thickTop="1" x14ac:dyDescent="0.15">
      <c r="B47" s="763"/>
      <c r="C47" s="205"/>
      <c r="D47" s="205"/>
      <c r="E47" s="205"/>
      <c r="F47" s="205"/>
      <c r="G47" s="101">
        <f t="shared" si="16"/>
        <v>0</v>
      </c>
      <c r="H47" s="109"/>
      <c r="I47" s="875" t="s">
        <v>118</v>
      </c>
      <c r="J47" s="455" t="s">
        <v>370</v>
      </c>
      <c r="K47" s="878"/>
      <c r="L47" s="878"/>
      <c r="M47" s="456"/>
      <c r="N47" s="457">
        <v>11500</v>
      </c>
      <c r="O47" s="113"/>
      <c r="P47" s="906"/>
      <c r="Q47" s="909"/>
      <c r="R47" s="460"/>
      <c r="S47" s="461"/>
      <c r="T47" s="461"/>
      <c r="U47" s="464"/>
      <c r="V47" s="465"/>
    </row>
    <row r="48" spans="2:22" ht="15.4" customHeight="1" x14ac:dyDescent="0.15">
      <c r="B48" s="763"/>
      <c r="C48" s="205"/>
      <c r="D48" s="205"/>
      <c r="E48" s="205"/>
      <c r="F48" s="205"/>
      <c r="G48" s="101">
        <f t="shared" si="16"/>
        <v>0</v>
      </c>
      <c r="H48" s="109"/>
      <c r="I48" s="876"/>
      <c r="J48" s="157"/>
      <c r="K48" s="898"/>
      <c r="L48" s="898"/>
      <c r="M48" s="346"/>
      <c r="N48" s="160"/>
      <c r="O48" s="113"/>
      <c r="P48" s="906"/>
      <c r="Q48" s="909"/>
      <c r="R48" s="460"/>
      <c r="S48" s="461"/>
      <c r="T48" s="462"/>
      <c r="U48" s="461"/>
      <c r="V48" s="463"/>
    </row>
    <row r="49" spans="2:22" ht="15.4" customHeight="1" thickBot="1" x14ac:dyDescent="0.2">
      <c r="B49" s="862"/>
      <c r="C49" s="102" t="s">
        <v>82</v>
      </c>
      <c r="D49" s="103">
        <f>SUM(D39:D48)</f>
        <v>434822</v>
      </c>
      <c r="E49" s="103"/>
      <c r="F49" s="103"/>
      <c r="G49" s="104">
        <f>SUM(G39:G48)</f>
        <v>26782103</v>
      </c>
      <c r="H49" s="109"/>
      <c r="I49" s="876"/>
      <c r="J49" s="107"/>
      <c r="K49" s="898"/>
      <c r="L49" s="898"/>
      <c r="M49" s="346"/>
      <c r="N49" s="160"/>
      <c r="O49" s="113"/>
      <c r="P49" s="906"/>
      <c r="Q49" s="910"/>
      <c r="R49" s="460"/>
      <c r="S49" s="461"/>
      <c r="T49" s="461"/>
      <c r="U49" s="464"/>
      <c r="V49" s="465"/>
    </row>
    <row r="50" spans="2:22" ht="15.4" customHeight="1" thickTop="1" thickBot="1" x14ac:dyDescent="0.2">
      <c r="B50" s="874"/>
      <c r="C50" s="205"/>
      <c r="D50" s="205"/>
      <c r="E50" s="298"/>
      <c r="F50" s="205"/>
      <c r="G50" s="101">
        <f t="shared" si="16"/>
        <v>0</v>
      </c>
      <c r="H50" s="109"/>
      <c r="I50" s="877"/>
      <c r="J50" s="155" t="s">
        <v>82</v>
      </c>
      <c r="K50" s="899"/>
      <c r="L50" s="900"/>
      <c r="M50" s="156"/>
      <c r="N50" s="159">
        <f>SUM(N47:N49)</f>
        <v>11500</v>
      </c>
      <c r="O50" s="113"/>
      <c r="P50" s="906"/>
      <c r="Q50" s="466" t="s">
        <v>125</v>
      </c>
      <c r="R50" s="467"/>
      <c r="S50" s="467"/>
      <c r="T50" s="467"/>
      <c r="U50" s="467"/>
      <c r="V50" s="468">
        <f>SUM(V45:V49)</f>
        <v>24040</v>
      </c>
    </row>
    <row r="51" spans="2:22" ht="15.4" customHeight="1" thickTop="1" x14ac:dyDescent="0.15">
      <c r="B51" s="763"/>
      <c r="C51" s="205"/>
      <c r="D51" s="205"/>
      <c r="E51" s="205"/>
      <c r="F51" s="205"/>
      <c r="G51" s="101">
        <f t="shared" si="16"/>
        <v>0</v>
      </c>
      <c r="H51" s="109"/>
      <c r="I51" s="875" t="s">
        <v>119</v>
      </c>
      <c r="J51" s="455" t="s">
        <v>35</v>
      </c>
      <c r="K51" s="913"/>
      <c r="L51" s="914"/>
      <c r="M51" s="458"/>
      <c r="N51" s="459">
        <v>2400</v>
      </c>
      <c r="O51" s="113"/>
      <c r="P51" s="906"/>
      <c r="Q51" s="908" t="s">
        <v>132</v>
      </c>
      <c r="R51" s="460" t="s">
        <v>131</v>
      </c>
      <c r="S51" s="469"/>
      <c r="T51" s="462">
        <v>1</v>
      </c>
      <c r="U51" s="461"/>
      <c r="V51" s="463"/>
    </row>
    <row r="52" spans="2:22" ht="15.4" customHeight="1" x14ac:dyDescent="0.15">
      <c r="B52" s="763"/>
      <c r="C52" s="205"/>
      <c r="D52" s="205"/>
      <c r="E52" s="205"/>
      <c r="F52" s="205"/>
      <c r="G52" s="101">
        <f t="shared" si="16"/>
        <v>0</v>
      </c>
      <c r="H52" s="109"/>
      <c r="I52" s="876"/>
      <c r="J52" s="157"/>
      <c r="K52" s="915"/>
      <c r="L52" s="916"/>
      <c r="M52" s="164"/>
      <c r="N52" s="160"/>
      <c r="O52" s="113"/>
      <c r="P52" s="906"/>
      <c r="Q52" s="909"/>
      <c r="R52" s="460"/>
      <c r="S52" s="469"/>
      <c r="T52" s="462"/>
      <c r="U52" s="461"/>
      <c r="V52" s="463"/>
    </row>
    <row r="53" spans="2:22" ht="14.25" thickBot="1" x14ac:dyDescent="0.2">
      <c r="B53" s="862"/>
      <c r="C53" s="102" t="s">
        <v>82</v>
      </c>
      <c r="D53" s="103"/>
      <c r="E53" s="103"/>
      <c r="F53" s="103"/>
      <c r="G53" s="104">
        <f>SUM(G50:G52)</f>
        <v>0</v>
      </c>
      <c r="I53" s="876"/>
      <c r="J53" s="157"/>
      <c r="K53" s="915"/>
      <c r="L53" s="916"/>
      <c r="M53" s="164"/>
      <c r="N53" s="160"/>
      <c r="O53" s="113"/>
      <c r="P53" s="906"/>
      <c r="Q53" s="909"/>
      <c r="R53" s="460"/>
      <c r="S53" s="461"/>
      <c r="T53" s="461"/>
      <c r="U53" s="464"/>
      <c r="V53" s="465"/>
    </row>
    <row r="54" spans="2:22" ht="14.25" thickTop="1" x14ac:dyDescent="0.15">
      <c r="B54" s="874"/>
      <c r="C54" s="205"/>
      <c r="D54" s="205"/>
      <c r="E54" s="298"/>
      <c r="F54" s="205"/>
      <c r="G54" s="101">
        <f>D54*F54</f>
        <v>0</v>
      </c>
      <c r="I54" s="876"/>
      <c r="J54" s="346"/>
      <c r="K54" s="918"/>
      <c r="L54" s="919"/>
      <c r="M54" s="164"/>
      <c r="N54" s="160"/>
      <c r="O54" s="113"/>
      <c r="P54" s="906"/>
      <c r="Q54" s="909"/>
      <c r="R54" s="460"/>
      <c r="S54" s="461"/>
      <c r="T54" s="462"/>
      <c r="U54" s="461"/>
      <c r="V54" s="463"/>
    </row>
    <row r="55" spans="2:22" x14ac:dyDescent="0.15">
      <c r="B55" s="763"/>
      <c r="C55" s="381"/>
      <c r="D55" s="381"/>
      <c r="E55" s="382"/>
      <c r="F55" s="381"/>
      <c r="G55" s="396">
        <f>D55*F55</f>
        <v>0</v>
      </c>
      <c r="I55" s="876"/>
      <c r="J55" s="157"/>
      <c r="K55" s="915"/>
      <c r="L55" s="916"/>
      <c r="M55" s="164"/>
      <c r="N55" s="166"/>
      <c r="O55" s="113"/>
      <c r="P55" s="906"/>
      <c r="Q55" s="910"/>
      <c r="R55" s="460"/>
      <c r="S55" s="461"/>
      <c r="T55" s="461"/>
      <c r="U55" s="464"/>
      <c r="V55" s="465"/>
    </row>
    <row r="56" spans="2:22" ht="14.25" thickBot="1" x14ac:dyDescent="0.2">
      <c r="B56" s="917"/>
      <c r="C56" s="102" t="s">
        <v>82</v>
      </c>
      <c r="D56" s="103"/>
      <c r="E56" s="103"/>
      <c r="F56" s="103"/>
      <c r="G56" s="104">
        <f>SUM(G54:G55)</f>
        <v>0</v>
      </c>
      <c r="I56" s="894"/>
      <c r="J56" s="397" t="s">
        <v>82</v>
      </c>
      <c r="K56" s="920"/>
      <c r="L56" s="921"/>
      <c r="M56" s="398"/>
      <c r="N56" s="399">
        <f>SUM(N51:N55)</f>
        <v>2400</v>
      </c>
      <c r="O56" s="113"/>
      <c r="P56" s="907"/>
      <c r="Q56" s="470" t="s">
        <v>125</v>
      </c>
      <c r="R56" s="471"/>
      <c r="S56" s="471"/>
      <c r="T56" s="471"/>
      <c r="U56" s="471"/>
      <c r="V56" s="472">
        <f>SUM(V51:V55)</f>
        <v>0</v>
      </c>
    </row>
    <row r="57" spans="2:22" ht="15" thickTop="1" thickBot="1" x14ac:dyDescent="0.2">
      <c r="B57" s="922" t="s">
        <v>173</v>
      </c>
      <c r="C57" s="923"/>
      <c r="D57" s="105"/>
      <c r="E57" s="105"/>
      <c r="F57" s="105"/>
      <c r="G57" s="106">
        <f>G38+G49+G53+G56</f>
        <v>29601203</v>
      </c>
      <c r="I57" s="886" t="s">
        <v>120</v>
      </c>
      <c r="J57" s="883"/>
      <c r="K57" s="887"/>
      <c r="L57" s="888"/>
      <c r="M57" s="395"/>
      <c r="N57" s="400">
        <f>SUM(N42,N46,N50,N56)</f>
        <v>123267.40000000001</v>
      </c>
      <c r="O57" s="113"/>
      <c r="P57" s="911" t="s">
        <v>120</v>
      </c>
      <c r="Q57" s="912"/>
      <c r="R57" s="379"/>
      <c r="S57" s="379"/>
      <c r="T57" s="379"/>
      <c r="U57" s="379"/>
      <c r="V57" s="400">
        <f>SUM(V44,V50,V56)</f>
        <v>1794470</v>
      </c>
    </row>
    <row r="58" spans="2:22" x14ac:dyDescent="0.15">
      <c r="O58" s="113"/>
      <c r="V58" s="28"/>
    </row>
    <row r="59" spans="2:22" x14ac:dyDescent="0.15">
      <c r="I59" s="113"/>
      <c r="J59" s="113"/>
      <c r="K59" s="113"/>
      <c r="L59" s="113"/>
      <c r="M59" s="113"/>
      <c r="N59" s="113"/>
      <c r="O59" s="113"/>
    </row>
    <row r="60" spans="2:22" x14ac:dyDescent="0.15">
      <c r="I60" s="113"/>
      <c r="J60" s="113"/>
      <c r="K60" s="113"/>
      <c r="L60" s="113"/>
      <c r="M60" s="113"/>
      <c r="N60" s="113"/>
      <c r="O60" s="113"/>
    </row>
    <row r="61" spans="2:22" x14ac:dyDescent="0.15">
      <c r="I61" s="113"/>
      <c r="J61" s="113"/>
      <c r="K61" s="113"/>
      <c r="L61" s="113"/>
      <c r="M61" s="113"/>
      <c r="N61" s="113"/>
      <c r="O61" s="113"/>
    </row>
    <row r="62" spans="2:22" x14ac:dyDescent="0.15">
      <c r="I62" s="113"/>
      <c r="J62" s="113"/>
      <c r="K62" s="113"/>
      <c r="L62" s="113"/>
      <c r="M62" s="113"/>
      <c r="N62" s="113"/>
      <c r="O62" s="113"/>
    </row>
    <row r="63" spans="2:22" x14ac:dyDescent="0.15">
      <c r="I63" s="113"/>
      <c r="J63" s="113"/>
      <c r="K63" s="113"/>
      <c r="L63" s="113"/>
      <c r="M63" s="113"/>
      <c r="N63" s="113"/>
      <c r="O63" s="113"/>
    </row>
    <row r="64" spans="2:22" x14ac:dyDescent="0.15">
      <c r="I64" s="113"/>
      <c r="J64" s="113"/>
      <c r="K64" s="113"/>
      <c r="L64" s="113"/>
      <c r="M64" s="113"/>
      <c r="N64" s="113"/>
      <c r="O64" s="113"/>
    </row>
    <row r="65" spans="9:15" x14ac:dyDescent="0.15">
      <c r="I65" s="113"/>
      <c r="J65" s="113"/>
      <c r="K65" s="113"/>
      <c r="L65" s="113"/>
      <c r="M65" s="113"/>
      <c r="N65" s="113"/>
      <c r="O65" s="113"/>
    </row>
    <row r="66" spans="9:15" x14ac:dyDescent="0.15">
      <c r="I66" s="113"/>
      <c r="J66" s="113"/>
      <c r="K66" s="113"/>
      <c r="L66" s="113"/>
      <c r="M66" s="113"/>
      <c r="N66" s="113"/>
      <c r="O66" s="113"/>
    </row>
    <row r="67" spans="9:15" x14ac:dyDescent="0.15">
      <c r="I67" s="113"/>
      <c r="J67" s="113"/>
      <c r="K67" s="113"/>
      <c r="L67" s="113"/>
      <c r="M67" s="113"/>
      <c r="N67" s="113"/>
      <c r="O67" s="113"/>
    </row>
    <row r="68" spans="9:15" x14ac:dyDescent="0.15">
      <c r="I68" s="113"/>
      <c r="J68" s="113"/>
      <c r="K68" s="113"/>
      <c r="L68" s="113"/>
      <c r="M68" s="113"/>
      <c r="N68" s="113"/>
      <c r="O68" s="113"/>
    </row>
    <row r="69" spans="9:15" x14ac:dyDescent="0.15">
      <c r="I69" s="113"/>
      <c r="J69" s="113"/>
      <c r="K69" s="113"/>
      <c r="L69" s="113"/>
      <c r="M69" s="113"/>
      <c r="N69" s="113"/>
      <c r="O69" s="113"/>
    </row>
    <row r="70" spans="9:15" x14ac:dyDescent="0.15">
      <c r="I70" s="113"/>
      <c r="J70" s="113"/>
      <c r="K70" s="113"/>
      <c r="L70" s="113"/>
      <c r="M70" s="113"/>
      <c r="N70" s="113"/>
      <c r="O70" s="113"/>
    </row>
    <row r="71" spans="9:15" x14ac:dyDescent="0.15">
      <c r="I71" s="113"/>
      <c r="J71" s="113"/>
      <c r="K71" s="113"/>
      <c r="L71" s="113"/>
      <c r="M71" s="113"/>
      <c r="N71" s="113"/>
      <c r="O71" s="113"/>
    </row>
    <row r="72" spans="9:15" x14ac:dyDescent="0.15">
      <c r="I72" s="113"/>
      <c r="J72" s="113"/>
      <c r="K72" s="113"/>
      <c r="L72" s="113"/>
      <c r="M72" s="113"/>
      <c r="N72" s="113"/>
      <c r="O72" s="113"/>
    </row>
    <row r="73" spans="9:15" x14ac:dyDescent="0.15">
      <c r="I73" s="113"/>
      <c r="J73" s="113"/>
      <c r="K73" s="113"/>
      <c r="L73" s="113"/>
      <c r="M73" s="113"/>
      <c r="N73" s="113"/>
      <c r="O73" s="113"/>
    </row>
    <row r="74" spans="9:15" x14ac:dyDescent="0.15">
      <c r="I74" s="113"/>
      <c r="J74" s="113"/>
      <c r="K74" s="113"/>
      <c r="L74" s="113"/>
      <c r="M74" s="113"/>
      <c r="N74" s="113"/>
      <c r="O74" s="113"/>
    </row>
    <row r="75" spans="9:15" x14ac:dyDescent="0.15">
      <c r="I75" s="113"/>
      <c r="J75" s="113"/>
      <c r="K75" s="113"/>
      <c r="L75" s="113"/>
      <c r="M75" s="113"/>
      <c r="N75" s="113"/>
      <c r="O75" s="113"/>
    </row>
    <row r="76" spans="9:15" x14ac:dyDescent="0.15">
      <c r="I76" s="113"/>
      <c r="J76" s="113"/>
      <c r="K76" s="113"/>
      <c r="L76" s="113"/>
      <c r="M76" s="113"/>
      <c r="N76" s="113"/>
      <c r="O76" s="113"/>
    </row>
    <row r="77" spans="9:15" x14ac:dyDescent="0.15">
      <c r="I77" s="113"/>
      <c r="J77" s="113"/>
      <c r="K77" s="113"/>
      <c r="L77" s="113"/>
      <c r="M77" s="113"/>
      <c r="N77" s="113"/>
      <c r="O77" s="113"/>
    </row>
    <row r="78" spans="9:15" x14ac:dyDescent="0.15">
      <c r="I78" s="113"/>
      <c r="J78" s="113"/>
      <c r="K78" s="113"/>
      <c r="L78" s="113"/>
      <c r="M78" s="113"/>
      <c r="N78" s="113"/>
      <c r="O78" s="113"/>
    </row>
    <row r="79" spans="9:15" x14ac:dyDescent="0.15">
      <c r="I79" s="113"/>
      <c r="J79" s="113"/>
      <c r="K79" s="113"/>
      <c r="L79" s="113"/>
      <c r="M79" s="113"/>
      <c r="N79" s="113"/>
      <c r="O79" s="113"/>
    </row>
    <row r="80" spans="9:15" x14ac:dyDescent="0.15">
      <c r="I80" s="113"/>
      <c r="J80" s="113"/>
      <c r="K80" s="113"/>
      <c r="L80" s="113"/>
      <c r="M80" s="113"/>
      <c r="N80" s="113"/>
      <c r="O80" s="113"/>
    </row>
    <row r="81" spans="2:15" x14ac:dyDescent="0.15">
      <c r="I81" s="113"/>
      <c r="J81" s="113"/>
      <c r="K81" s="113"/>
      <c r="L81" s="113"/>
      <c r="M81" s="113"/>
      <c r="N81" s="113"/>
      <c r="O81" s="113"/>
    </row>
    <row r="82" spans="2:15" x14ac:dyDescent="0.15">
      <c r="I82" s="113"/>
      <c r="J82" s="113"/>
      <c r="K82" s="113"/>
      <c r="L82" s="113"/>
      <c r="M82" s="113"/>
      <c r="N82" s="113"/>
      <c r="O82" s="113"/>
    </row>
    <row r="83" spans="2:15" x14ac:dyDescent="0.15">
      <c r="B83" s="108"/>
      <c r="C83" s="109"/>
      <c r="D83" s="109"/>
      <c r="E83" s="109"/>
      <c r="F83" s="109"/>
      <c r="I83" s="113"/>
      <c r="J83" s="113"/>
      <c r="K83" s="113"/>
      <c r="L83" s="113"/>
      <c r="M83" s="113"/>
      <c r="N83" s="113"/>
      <c r="O83" s="113"/>
    </row>
    <row r="84" spans="2:15" x14ac:dyDescent="0.15">
      <c r="B84" s="108"/>
      <c r="C84" s="109"/>
      <c r="D84" s="109"/>
      <c r="E84" s="109"/>
      <c r="F84" s="109"/>
      <c r="I84" s="113"/>
      <c r="J84" s="113"/>
      <c r="K84" s="113"/>
      <c r="L84" s="113"/>
      <c r="M84" s="113"/>
      <c r="N84" s="113"/>
      <c r="O84" s="113"/>
    </row>
    <row r="85" spans="2:15" x14ac:dyDescent="0.15">
      <c r="I85" s="113"/>
      <c r="J85" s="113"/>
      <c r="K85" s="113"/>
      <c r="L85" s="113"/>
      <c r="M85" s="113"/>
      <c r="N85" s="113"/>
      <c r="O85" s="113"/>
    </row>
    <row r="86" spans="2:15" x14ac:dyDescent="0.15">
      <c r="I86" s="113"/>
      <c r="J86" s="113"/>
      <c r="K86" s="113"/>
      <c r="L86" s="113"/>
      <c r="M86" s="113"/>
      <c r="N86" s="113"/>
      <c r="O86" s="113"/>
    </row>
    <row r="87" spans="2:15" x14ac:dyDescent="0.15">
      <c r="I87" s="113"/>
      <c r="J87" s="113"/>
      <c r="K87" s="113"/>
      <c r="L87" s="113"/>
      <c r="M87" s="113"/>
      <c r="N87" s="113"/>
      <c r="O87" s="113"/>
    </row>
    <row r="88" spans="2:15" x14ac:dyDescent="0.15">
      <c r="I88" s="113"/>
      <c r="J88" s="113"/>
      <c r="K88" s="113"/>
      <c r="L88" s="113"/>
      <c r="M88" s="113"/>
      <c r="N88" s="113"/>
      <c r="O88" s="113"/>
    </row>
    <row r="89" spans="2:15" x14ac:dyDescent="0.15">
      <c r="I89" s="113"/>
      <c r="J89" s="113"/>
      <c r="K89" s="113"/>
      <c r="L89" s="113"/>
      <c r="M89" s="113"/>
      <c r="N89" s="113"/>
      <c r="O89" s="113"/>
    </row>
    <row r="90" spans="2:15" x14ac:dyDescent="0.15">
      <c r="I90" s="113"/>
      <c r="J90" s="113"/>
      <c r="K90" s="113"/>
      <c r="L90" s="113"/>
      <c r="M90" s="113"/>
      <c r="N90" s="113"/>
      <c r="O90" s="113"/>
    </row>
    <row r="91" spans="2:15" x14ac:dyDescent="0.15">
      <c r="I91" s="113"/>
      <c r="J91" s="113"/>
      <c r="K91" s="113"/>
      <c r="L91" s="113"/>
      <c r="M91" s="113"/>
      <c r="N91" s="113"/>
      <c r="O91" s="113"/>
    </row>
    <row r="92" spans="2:15" x14ac:dyDescent="0.15">
      <c r="I92" s="113"/>
      <c r="J92" s="113"/>
      <c r="K92" s="113"/>
      <c r="L92" s="113"/>
      <c r="M92" s="113"/>
      <c r="N92" s="113"/>
      <c r="O92" s="113"/>
    </row>
    <row r="93" spans="2:15" x14ac:dyDescent="0.15">
      <c r="I93" s="113"/>
      <c r="J93" s="113"/>
      <c r="K93" s="113"/>
      <c r="L93" s="113"/>
      <c r="M93" s="113"/>
      <c r="N93" s="113"/>
      <c r="O93" s="113"/>
    </row>
    <row r="94" spans="2:15" x14ac:dyDescent="0.15">
      <c r="I94" s="113"/>
      <c r="J94" s="113"/>
      <c r="K94" s="113"/>
      <c r="L94" s="113"/>
      <c r="M94" s="113"/>
      <c r="N94" s="113"/>
      <c r="O94" s="113"/>
    </row>
    <row r="95" spans="2:15" x14ac:dyDescent="0.15">
      <c r="I95" s="113"/>
      <c r="J95" s="113"/>
      <c r="K95" s="113"/>
      <c r="L95" s="113"/>
      <c r="M95" s="113"/>
      <c r="N95" s="113"/>
      <c r="O95" s="113"/>
    </row>
    <row r="96" spans="2:15" x14ac:dyDescent="0.15">
      <c r="I96" s="113"/>
      <c r="J96" s="113"/>
      <c r="K96" s="113"/>
      <c r="L96" s="113"/>
      <c r="M96" s="113"/>
      <c r="N96" s="113"/>
      <c r="O96" s="113"/>
    </row>
    <row r="97" spans="9:15" x14ac:dyDescent="0.15">
      <c r="I97" s="113"/>
      <c r="J97" s="113"/>
      <c r="K97" s="113"/>
      <c r="L97" s="113"/>
      <c r="M97" s="113"/>
      <c r="N97" s="113"/>
      <c r="O97" s="113"/>
    </row>
    <row r="98" spans="9:15" x14ac:dyDescent="0.15">
      <c r="I98" s="113"/>
      <c r="J98" s="113"/>
      <c r="K98" s="113"/>
      <c r="L98" s="113"/>
      <c r="M98" s="113"/>
      <c r="N98" s="113"/>
      <c r="O98" s="113"/>
    </row>
    <row r="99" spans="9:15" x14ac:dyDescent="0.15">
      <c r="I99" s="113"/>
      <c r="J99" s="113"/>
      <c r="K99" s="113"/>
      <c r="L99" s="113"/>
      <c r="M99" s="113"/>
      <c r="N99" s="113"/>
      <c r="O99" s="113"/>
    </row>
    <row r="100" spans="9:15" x14ac:dyDescent="0.15">
      <c r="I100" s="113"/>
      <c r="J100" s="113"/>
      <c r="K100" s="113"/>
      <c r="L100" s="113"/>
      <c r="M100" s="113"/>
      <c r="N100" s="113"/>
      <c r="O100" s="113"/>
    </row>
    <row r="101" spans="9:15" x14ac:dyDescent="0.15">
      <c r="I101" s="113"/>
      <c r="J101" s="113"/>
      <c r="K101" s="113"/>
      <c r="L101" s="113"/>
      <c r="M101" s="113"/>
      <c r="N101" s="113"/>
      <c r="O101" s="113"/>
    </row>
    <row r="102" spans="9:15" x14ac:dyDescent="0.15">
      <c r="I102" s="113"/>
      <c r="J102" s="113"/>
      <c r="K102" s="113"/>
      <c r="L102" s="113"/>
      <c r="M102" s="113"/>
      <c r="N102" s="113"/>
      <c r="O102" s="113"/>
    </row>
    <row r="103" spans="9:15" x14ac:dyDescent="0.15">
      <c r="I103" s="113"/>
      <c r="J103" s="113"/>
      <c r="K103" s="113"/>
      <c r="L103" s="113"/>
      <c r="M103" s="113"/>
      <c r="N103" s="113"/>
      <c r="O103" s="113"/>
    </row>
    <row r="104" spans="9:15" x14ac:dyDescent="0.15">
      <c r="I104" s="113"/>
      <c r="J104" s="113"/>
      <c r="K104" s="113"/>
      <c r="L104" s="113"/>
      <c r="M104" s="113"/>
      <c r="N104" s="113"/>
      <c r="O104" s="113"/>
    </row>
    <row r="105" spans="9:15" x14ac:dyDescent="0.15">
      <c r="I105" s="113"/>
      <c r="J105" s="113"/>
      <c r="K105" s="113"/>
      <c r="L105" s="113"/>
      <c r="M105" s="113"/>
      <c r="N105" s="113"/>
      <c r="O105" s="113"/>
    </row>
    <row r="106" spans="9:15" x14ac:dyDescent="0.15">
      <c r="I106" s="113"/>
      <c r="J106" s="113"/>
      <c r="K106" s="113"/>
      <c r="L106" s="113"/>
      <c r="M106" s="113"/>
      <c r="N106" s="113"/>
      <c r="O106" s="113"/>
    </row>
    <row r="107" spans="9:15" x14ac:dyDescent="0.15">
      <c r="I107" s="113"/>
      <c r="J107" s="113"/>
      <c r="K107" s="113"/>
      <c r="L107" s="113"/>
      <c r="M107" s="113"/>
      <c r="N107" s="113"/>
      <c r="O107" s="113"/>
    </row>
    <row r="108" spans="9:15" x14ac:dyDescent="0.15">
      <c r="I108" s="113"/>
      <c r="J108" s="113"/>
      <c r="K108" s="113"/>
      <c r="L108" s="113"/>
      <c r="M108" s="113"/>
      <c r="N108" s="113"/>
      <c r="O108" s="113"/>
    </row>
    <row r="109" spans="9:15" x14ac:dyDescent="0.15">
      <c r="I109" s="113"/>
      <c r="J109" s="113"/>
      <c r="K109" s="113"/>
      <c r="L109" s="113"/>
      <c r="M109" s="113"/>
      <c r="N109" s="113"/>
      <c r="O109" s="113"/>
    </row>
    <row r="110" spans="9:15" x14ac:dyDescent="0.15">
      <c r="I110" s="113"/>
      <c r="J110" s="113"/>
      <c r="K110" s="113"/>
      <c r="L110" s="113"/>
      <c r="M110" s="113"/>
      <c r="N110" s="113"/>
      <c r="O110" s="113"/>
    </row>
    <row r="111" spans="9:15" x14ac:dyDescent="0.15">
      <c r="I111" s="113"/>
      <c r="J111" s="113"/>
      <c r="K111" s="113"/>
      <c r="L111" s="113"/>
      <c r="M111" s="113"/>
      <c r="N111" s="113"/>
      <c r="O111" s="113"/>
    </row>
    <row r="112" spans="9:15" x14ac:dyDescent="0.15">
      <c r="I112" s="113"/>
      <c r="J112" s="113"/>
      <c r="K112" s="113"/>
      <c r="L112" s="113"/>
      <c r="M112" s="113"/>
      <c r="N112" s="113"/>
      <c r="O112" s="113"/>
    </row>
    <row r="113" spans="9:15" x14ac:dyDescent="0.15">
      <c r="I113" s="113"/>
      <c r="J113" s="113"/>
      <c r="K113" s="113"/>
      <c r="L113" s="113"/>
      <c r="M113" s="113"/>
      <c r="N113" s="113"/>
      <c r="O113" s="113"/>
    </row>
    <row r="114" spans="9:15" x14ac:dyDescent="0.15">
      <c r="I114" s="113"/>
      <c r="J114" s="113"/>
      <c r="K114" s="113"/>
      <c r="L114" s="113"/>
      <c r="M114" s="113"/>
      <c r="N114" s="113"/>
      <c r="O114" s="113"/>
    </row>
    <row r="115" spans="9:15" x14ac:dyDescent="0.15">
      <c r="I115" s="113"/>
      <c r="J115" s="113"/>
      <c r="K115" s="113"/>
      <c r="L115" s="113"/>
      <c r="M115" s="113"/>
      <c r="N115" s="113"/>
      <c r="O115" s="113"/>
    </row>
    <row r="116" spans="9:15" x14ac:dyDescent="0.15">
      <c r="I116" s="113"/>
      <c r="J116" s="113"/>
      <c r="K116" s="113"/>
      <c r="L116" s="113"/>
      <c r="M116" s="113"/>
      <c r="N116" s="113"/>
      <c r="O116" s="113"/>
    </row>
    <row r="117" spans="9:15" x14ac:dyDescent="0.15">
      <c r="I117" s="113"/>
      <c r="J117" s="113"/>
      <c r="K117" s="113"/>
      <c r="L117" s="113"/>
      <c r="M117" s="113"/>
      <c r="N117" s="113"/>
      <c r="O117" s="113"/>
    </row>
    <row r="118" spans="9:15" x14ac:dyDescent="0.15">
      <c r="I118" s="113"/>
      <c r="J118" s="113"/>
      <c r="K118" s="113"/>
      <c r="L118" s="113"/>
      <c r="M118" s="113"/>
      <c r="N118" s="113"/>
      <c r="O118" s="113"/>
    </row>
    <row r="119" spans="9:15" x14ac:dyDescent="0.15">
      <c r="I119" s="113"/>
      <c r="J119" s="113"/>
      <c r="K119" s="113"/>
      <c r="L119" s="113"/>
      <c r="M119" s="113"/>
      <c r="N119" s="113"/>
      <c r="O119" s="113"/>
    </row>
    <row r="120" spans="9:15" x14ac:dyDescent="0.15">
      <c r="I120" s="113"/>
      <c r="J120" s="113"/>
      <c r="K120" s="113"/>
      <c r="L120" s="113"/>
      <c r="M120" s="113"/>
      <c r="N120" s="113"/>
      <c r="O120" s="113"/>
    </row>
    <row r="121" spans="9:15" x14ac:dyDescent="0.15">
      <c r="I121" s="113"/>
      <c r="J121" s="113"/>
      <c r="K121" s="113"/>
      <c r="L121" s="113"/>
      <c r="M121" s="113"/>
      <c r="N121" s="113"/>
      <c r="O121" s="113"/>
    </row>
    <row r="122" spans="9:15" x14ac:dyDescent="0.15">
      <c r="I122" s="113"/>
      <c r="J122" s="113"/>
      <c r="K122" s="113"/>
      <c r="L122" s="113"/>
      <c r="M122" s="113"/>
      <c r="N122" s="113"/>
      <c r="O122" s="113"/>
    </row>
    <row r="123" spans="9:15" x14ac:dyDescent="0.15">
      <c r="I123" s="113"/>
      <c r="J123" s="113"/>
      <c r="K123" s="113"/>
      <c r="L123" s="113"/>
      <c r="M123" s="113"/>
      <c r="N123" s="113"/>
      <c r="O123" s="113"/>
    </row>
    <row r="124" spans="9:15" x14ac:dyDescent="0.15">
      <c r="I124" s="113"/>
      <c r="J124" s="113"/>
      <c r="K124" s="113"/>
      <c r="L124" s="113"/>
      <c r="M124" s="113"/>
      <c r="N124" s="113"/>
      <c r="O124" s="113"/>
    </row>
    <row r="125" spans="9:15" x14ac:dyDescent="0.15">
      <c r="I125" s="113"/>
      <c r="J125" s="113"/>
      <c r="K125" s="113"/>
      <c r="L125" s="113"/>
      <c r="M125" s="113"/>
      <c r="N125" s="113"/>
      <c r="O125" s="113"/>
    </row>
    <row r="126" spans="9:15" x14ac:dyDescent="0.15">
      <c r="I126" s="113"/>
      <c r="J126" s="113"/>
      <c r="K126" s="113"/>
      <c r="L126" s="113"/>
      <c r="M126" s="113"/>
      <c r="N126" s="113"/>
      <c r="O126" s="113"/>
    </row>
    <row r="127" spans="9:15" x14ac:dyDescent="0.15">
      <c r="I127" s="113"/>
      <c r="J127" s="113"/>
      <c r="K127" s="113"/>
      <c r="L127" s="113"/>
      <c r="M127" s="113"/>
      <c r="N127" s="113"/>
      <c r="O127" s="113"/>
    </row>
    <row r="128" spans="9:15" x14ac:dyDescent="0.15">
      <c r="I128" s="113"/>
      <c r="J128" s="113"/>
      <c r="K128" s="113"/>
      <c r="L128" s="113"/>
      <c r="M128" s="113"/>
      <c r="N128" s="113"/>
      <c r="O128" s="113"/>
    </row>
    <row r="129" spans="9:15" x14ac:dyDescent="0.15">
      <c r="I129" s="113"/>
      <c r="J129" s="113"/>
      <c r="K129" s="113"/>
      <c r="L129" s="113"/>
      <c r="M129" s="113"/>
      <c r="N129" s="113"/>
      <c r="O129" s="113"/>
    </row>
    <row r="130" spans="9:15" x14ac:dyDescent="0.15">
      <c r="I130" s="113"/>
      <c r="J130" s="113"/>
      <c r="K130" s="113"/>
      <c r="L130" s="113"/>
      <c r="M130" s="113"/>
      <c r="N130" s="113"/>
      <c r="O130" s="113"/>
    </row>
    <row r="131" spans="9:15" x14ac:dyDescent="0.15">
      <c r="I131" s="113"/>
      <c r="J131" s="113"/>
      <c r="K131" s="113"/>
      <c r="L131" s="113"/>
      <c r="M131" s="113"/>
      <c r="N131" s="113"/>
      <c r="O131" s="113"/>
    </row>
    <row r="132" spans="9:15" x14ac:dyDescent="0.15">
      <c r="I132" s="113"/>
      <c r="J132" s="113"/>
      <c r="K132" s="113"/>
      <c r="L132" s="113"/>
      <c r="M132" s="113"/>
      <c r="N132" s="113"/>
      <c r="O132" s="113"/>
    </row>
    <row r="133" spans="9:15" x14ac:dyDescent="0.15">
      <c r="I133" s="113"/>
      <c r="J133" s="113"/>
      <c r="K133" s="113"/>
      <c r="L133" s="113"/>
      <c r="M133" s="113"/>
      <c r="N133" s="113"/>
      <c r="O133" s="113"/>
    </row>
    <row r="134" spans="9:15" x14ac:dyDescent="0.15">
      <c r="I134" s="113"/>
      <c r="J134" s="113"/>
      <c r="K134" s="113"/>
      <c r="L134" s="113"/>
      <c r="M134" s="113"/>
      <c r="N134" s="113"/>
      <c r="O134" s="113"/>
    </row>
    <row r="135" spans="9:15" x14ac:dyDescent="0.15">
      <c r="I135" s="113"/>
      <c r="J135" s="113"/>
      <c r="K135" s="113"/>
      <c r="L135" s="113"/>
      <c r="M135" s="113"/>
      <c r="N135" s="113"/>
      <c r="O135" s="113"/>
    </row>
    <row r="136" spans="9:15" x14ac:dyDescent="0.15">
      <c r="I136" s="113"/>
      <c r="J136" s="113"/>
      <c r="K136" s="113"/>
      <c r="L136" s="113"/>
      <c r="M136" s="113"/>
      <c r="N136" s="113"/>
      <c r="O136" s="113"/>
    </row>
    <row r="137" spans="9:15" x14ac:dyDescent="0.15">
      <c r="I137" s="113"/>
      <c r="J137" s="113"/>
      <c r="K137" s="113"/>
      <c r="L137" s="113"/>
      <c r="M137" s="113"/>
      <c r="N137" s="113"/>
      <c r="O137" s="113"/>
    </row>
    <row r="138" spans="9:15" x14ac:dyDescent="0.15">
      <c r="I138" s="113"/>
      <c r="J138" s="113"/>
      <c r="K138" s="113"/>
      <c r="L138" s="113"/>
      <c r="M138" s="113"/>
      <c r="N138" s="113"/>
      <c r="O138" s="113"/>
    </row>
    <row r="139" spans="9:15" x14ac:dyDescent="0.15">
      <c r="I139" s="113"/>
      <c r="J139" s="113"/>
      <c r="K139" s="113"/>
      <c r="L139" s="113"/>
      <c r="M139" s="113"/>
      <c r="N139" s="113"/>
    </row>
    <row r="140" spans="9:15" x14ac:dyDescent="0.15">
      <c r="I140" s="113"/>
      <c r="J140" s="113"/>
      <c r="K140" s="113"/>
      <c r="L140" s="113"/>
      <c r="M140" s="113"/>
      <c r="N140" s="113"/>
    </row>
    <row r="141" spans="9:15" x14ac:dyDescent="0.15">
      <c r="I141" s="113"/>
      <c r="J141" s="113"/>
      <c r="K141" s="113"/>
      <c r="L141" s="113"/>
      <c r="M141" s="113"/>
      <c r="N141" s="113"/>
    </row>
    <row r="142" spans="9:15" x14ac:dyDescent="0.15">
      <c r="I142" s="113"/>
      <c r="J142" s="113"/>
      <c r="K142" s="113"/>
      <c r="L142" s="113"/>
      <c r="M142" s="113"/>
      <c r="N142" s="113"/>
    </row>
    <row r="143" spans="9:15" x14ac:dyDescent="0.15">
      <c r="I143" s="113"/>
      <c r="J143" s="113"/>
      <c r="K143" s="113"/>
      <c r="L143" s="113"/>
      <c r="M143" s="113"/>
      <c r="N143" s="113"/>
    </row>
    <row r="144" spans="9:15" x14ac:dyDescent="0.15">
      <c r="I144" s="113"/>
      <c r="J144" s="113"/>
      <c r="K144" s="113"/>
      <c r="L144" s="113"/>
      <c r="M144" s="113"/>
      <c r="N144" s="113"/>
    </row>
    <row r="145" spans="9:14" x14ac:dyDescent="0.15">
      <c r="I145" s="113"/>
      <c r="J145" s="113"/>
      <c r="K145" s="113"/>
      <c r="L145" s="113"/>
      <c r="M145" s="113"/>
      <c r="N145" s="113"/>
    </row>
    <row r="146" spans="9:14" x14ac:dyDescent="0.15">
      <c r="I146" s="113"/>
      <c r="J146" s="113"/>
      <c r="K146" s="113"/>
      <c r="L146" s="113"/>
      <c r="M146" s="113"/>
      <c r="N146" s="113"/>
    </row>
    <row r="147" spans="9:14" x14ac:dyDescent="0.15">
      <c r="I147" s="113"/>
      <c r="J147" s="113"/>
      <c r="K147" s="113"/>
      <c r="L147" s="113"/>
      <c r="M147" s="113"/>
      <c r="N147" s="113"/>
    </row>
    <row r="148" spans="9:14" x14ac:dyDescent="0.15">
      <c r="I148" s="113"/>
      <c r="J148" s="113"/>
      <c r="K148" s="113"/>
      <c r="L148" s="113"/>
      <c r="M148" s="113"/>
      <c r="N148" s="113"/>
    </row>
    <row r="149" spans="9:14" x14ac:dyDescent="0.15">
      <c r="I149" s="113"/>
      <c r="J149" s="113"/>
      <c r="K149" s="113"/>
      <c r="L149" s="113"/>
      <c r="M149" s="113"/>
      <c r="N149" s="113"/>
    </row>
    <row r="150" spans="9:14" x14ac:dyDescent="0.15">
      <c r="I150" s="113"/>
      <c r="J150" s="113"/>
      <c r="K150" s="113"/>
      <c r="L150" s="113"/>
      <c r="M150" s="113"/>
      <c r="N150" s="113"/>
    </row>
    <row r="151" spans="9:14" x14ac:dyDescent="0.15">
      <c r="I151" s="113"/>
      <c r="J151" s="113"/>
      <c r="K151" s="113"/>
      <c r="L151" s="113"/>
      <c r="M151" s="113"/>
      <c r="N151" s="113"/>
    </row>
    <row r="152" spans="9:14" x14ac:dyDescent="0.15">
      <c r="I152" s="113"/>
      <c r="J152" s="113"/>
      <c r="K152" s="113"/>
      <c r="L152" s="113"/>
      <c r="M152" s="113"/>
      <c r="N152" s="113"/>
    </row>
    <row r="153" spans="9:14" x14ac:dyDescent="0.15">
      <c r="I153" s="113"/>
      <c r="J153" s="113"/>
      <c r="K153" s="113"/>
      <c r="L153" s="113"/>
      <c r="M153" s="113"/>
      <c r="N153" s="113"/>
    </row>
    <row r="154" spans="9:14" x14ac:dyDescent="0.15">
      <c r="I154" s="113"/>
      <c r="J154" s="113"/>
      <c r="K154" s="113"/>
      <c r="L154" s="113"/>
      <c r="M154" s="113"/>
      <c r="N154" s="113"/>
    </row>
    <row r="155" spans="9:14" x14ac:dyDescent="0.15">
      <c r="J155" s="113"/>
      <c r="K155" s="113"/>
      <c r="L155" s="113"/>
      <c r="M155" s="113"/>
      <c r="N155" s="113"/>
    </row>
    <row r="156" spans="9:14" x14ac:dyDescent="0.15">
      <c r="J156" s="113"/>
      <c r="K156" s="113"/>
      <c r="L156" s="113"/>
      <c r="M156" s="113"/>
      <c r="N156" s="113"/>
    </row>
    <row r="172" spans="15:15" x14ac:dyDescent="0.15">
      <c r="O172" s="113"/>
    </row>
    <row r="173" spans="15:15" x14ac:dyDescent="0.15">
      <c r="O173" s="113"/>
    </row>
    <row r="174" spans="15:15" x14ac:dyDescent="0.15">
      <c r="O174" s="113"/>
    </row>
    <row r="175" spans="15:15" x14ac:dyDescent="0.15">
      <c r="O175" s="113"/>
    </row>
    <row r="176" spans="15:15" x14ac:dyDescent="0.15">
      <c r="O176" s="113"/>
    </row>
    <row r="177" spans="15:15" x14ac:dyDescent="0.15">
      <c r="O177" s="113"/>
    </row>
    <row r="178" spans="15:15" x14ac:dyDescent="0.15">
      <c r="O178" s="113"/>
    </row>
    <row r="179" spans="15:15" x14ac:dyDescent="0.15">
      <c r="O179" s="113"/>
    </row>
    <row r="180" spans="15:15" x14ac:dyDescent="0.15">
      <c r="O180" s="113"/>
    </row>
    <row r="181" spans="15:15" x14ac:dyDescent="0.15">
      <c r="O181" s="113"/>
    </row>
    <row r="182" spans="15:15" x14ac:dyDescent="0.15">
      <c r="O182" s="113"/>
    </row>
    <row r="183" spans="15:15" x14ac:dyDescent="0.15">
      <c r="O183" s="113"/>
    </row>
    <row r="184" spans="15:15" x14ac:dyDescent="0.15">
      <c r="O184" s="113"/>
    </row>
    <row r="185" spans="15:15" x14ac:dyDescent="0.15">
      <c r="O185" s="113"/>
    </row>
    <row r="186" spans="15:15" x14ac:dyDescent="0.15">
      <c r="O186" s="113"/>
    </row>
    <row r="187" spans="15:15" x14ac:dyDescent="0.15">
      <c r="O187" s="113"/>
    </row>
    <row r="188" spans="15:15" x14ac:dyDescent="0.15">
      <c r="O188" s="113"/>
    </row>
    <row r="189" spans="15:15" x14ac:dyDescent="0.15">
      <c r="O189" s="113"/>
    </row>
    <row r="190" spans="15:15" x14ac:dyDescent="0.15">
      <c r="O190" s="113"/>
    </row>
    <row r="191" spans="15:15" x14ac:dyDescent="0.15">
      <c r="O191" s="113"/>
    </row>
  </sheetData>
  <mergeCells count="73">
    <mergeCell ref="P57:Q57"/>
    <mergeCell ref="B50:B53"/>
    <mergeCell ref="K50:L50"/>
    <mergeCell ref="I51:I56"/>
    <mergeCell ref="K51:L51"/>
    <mergeCell ref="Q51:Q55"/>
    <mergeCell ref="K52:L52"/>
    <mergeCell ref="K53:L53"/>
    <mergeCell ref="B54:B56"/>
    <mergeCell ref="K54:L54"/>
    <mergeCell ref="K55:L55"/>
    <mergeCell ref="I47:I50"/>
    <mergeCell ref="K48:L48"/>
    <mergeCell ref="K49:L49"/>
    <mergeCell ref="K56:L56"/>
    <mergeCell ref="B57:C57"/>
    <mergeCell ref="Q37:R37"/>
    <mergeCell ref="K38:L38"/>
    <mergeCell ref="P38:P44"/>
    <mergeCell ref="P45:P56"/>
    <mergeCell ref="Q45:Q49"/>
    <mergeCell ref="K44:L44"/>
    <mergeCell ref="K45:L45"/>
    <mergeCell ref="K46:L46"/>
    <mergeCell ref="K47:L47"/>
    <mergeCell ref="I57:J57"/>
    <mergeCell ref="K57:L57"/>
    <mergeCell ref="B24:C24"/>
    <mergeCell ref="I24:I27"/>
    <mergeCell ref="B28:B38"/>
    <mergeCell ref="I28:I31"/>
    <mergeCell ref="K34:L34"/>
    <mergeCell ref="I35:I42"/>
    <mergeCell ref="K35:L35"/>
    <mergeCell ref="K36:L36"/>
    <mergeCell ref="K37:L37"/>
    <mergeCell ref="B39:B49"/>
    <mergeCell ref="K39:L39"/>
    <mergeCell ref="K40:L40"/>
    <mergeCell ref="K41:L41"/>
    <mergeCell ref="K42:L42"/>
    <mergeCell ref="I43:I46"/>
    <mergeCell ref="K43:L43"/>
    <mergeCell ref="B12:B16"/>
    <mergeCell ref="T12:U12"/>
    <mergeCell ref="T13:U13"/>
    <mergeCell ref="T14:U14"/>
    <mergeCell ref="T15:U15"/>
    <mergeCell ref="I16:I19"/>
    <mergeCell ref="T16:U16"/>
    <mergeCell ref="B17:B20"/>
    <mergeCell ref="T17:U17"/>
    <mergeCell ref="T18:U18"/>
    <mergeCell ref="T19:U19"/>
    <mergeCell ref="I20:I23"/>
    <mergeCell ref="T20:U20"/>
    <mergeCell ref="B21:B23"/>
    <mergeCell ref="B5:B7"/>
    <mergeCell ref="T5:U5"/>
    <mergeCell ref="I6:I10"/>
    <mergeCell ref="T6:U6"/>
    <mergeCell ref="T7:U7"/>
    <mergeCell ref="I4:I5"/>
    <mergeCell ref="J4:J5"/>
    <mergeCell ref="M4:M5"/>
    <mergeCell ref="N4:N5"/>
    <mergeCell ref="T4:U4"/>
    <mergeCell ref="B8:B11"/>
    <mergeCell ref="T8:U8"/>
    <mergeCell ref="T9:U9"/>
    <mergeCell ref="T10:U10"/>
    <mergeCell ref="I11:I15"/>
    <mergeCell ref="T11:U11"/>
  </mergeCells>
  <phoneticPr fontId="6"/>
  <pageMargins left="0.78740157480314965" right="0.78740157480314965" top="0.78740157480314965" bottom="0.78740157480314965" header="0.39370078740157483" footer="0.39370078740157483"/>
  <pageSetup paperSize="9" scale="6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１　対象経営の概要，２　前提条件 (2)</vt:lpstr>
      <vt:lpstr>３－１　標準技術 (採草)</vt:lpstr>
      <vt:lpstr>３－２　標準技術 (放牧)</vt:lpstr>
      <vt:lpstr>３－３　標準技術（稲ワラ）</vt:lpstr>
      <vt:lpstr>４　経営収支</vt:lpstr>
      <vt:lpstr>５　繁殖・肥育作業時間計 </vt:lpstr>
      <vt:lpstr>６　固定資本装備と減価償却費 </vt:lpstr>
      <vt:lpstr>７　一貫経営収支</vt:lpstr>
      <vt:lpstr>８　一貫経営算出基礎</vt:lpstr>
      <vt:lpstr>'４　経営収支'!Print_Area</vt:lpstr>
      <vt:lpstr>'５　繁殖・肥育作業時間計 '!Print_Area</vt:lpstr>
      <vt:lpstr>'６　固定資本装備と減価償却費 '!Print_Area</vt:lpstr>
      <vt:lpstr>'７　一貫経営収支'!Print_Area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2015-03-05T08:43:26Z</cp:lastPrinted>
  <dcterms:created xsi:type="dcterms:W3CDTF">2005-02-26T02:20:11Z</dcterms:created>
  <dcterms:modified xsi:type="dcterms:W3CDTF">2015-03-24T05:57:41Z</dcterms:modified>
</cp:coreProperties>
</file>