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060健康福祉局\999健康福祉局共有\局内共有\18　医療介護計画課\医療施設等設備整備費補助金\R04(2022）\01 R4（ R3からの繰越分）\02募集関係\"/>
    </mc:Choice>
  </mc:AlternateContent>
  <bookViews>
    <workbookView xWindow="0" yWindow="0" windowWidth="28800" windowHeight="12720" tabRatio="750"/>
  </bookViews>
  <sheets>
    <sheet name="作成要領・目次" sheetId="10" r:id="rId1"/>
    <sheet name="（1）" sheetId="5" state="hidden" r:id="rId2"/>
    <sheet name="（2）" sheetId="7" state="hidden" r:id="rId3"/>
    <sheet name="（3）" sheetId="3" state="hidden" r:id="rId4"/>
    <sheet name="（4）" sheetId="8" state="hidden" r:id="rId5"/>
    <sheet name="（5）-1" sheetId="9" state="hidden" r:id="rId6"/>
    <sheet name="（5）-2" sheetId="11" state="hidden" r:id="rId7"/>
    <sheet name="（5）-3" sheetId="39" state="hidden" r:id="rId8"/>
    <sheet name="（6）" sheetId="4" state="hidden" r:id="rId9"/>
    <sheet name="（7）" sheetId="13" state="hidden" r:id="rId10"/>
    <sheet name="（8）" sheetId="14" state="hidden" r:id="rId11"/>
    <sheet name="（9）" sheetId="15" state="hidden" r:id="rId12"/>
    <sheet name="（10）" sheetId="16" state="hidden" r:id="rId13"/>
    <sheet name="（11）" sheetId="17" state="hidden" r:id="rId14"/>
    <sheet name="（12）－1" sheetId="18" state="hidden" r:id="rId15"/>
    <sheet name="（12）-2" sheetId="19" state="hidden" r:id="rId16"/>
    <sheet name="（13）-1" sheetId="21" state="hidden" r:id="rId17"/>
    <sheet name="（13）-2" sheetId="24" state="hidden" r:id="rId18"/>
    <sheet name="（13）-3" sheetId="25" state="hidden" r:id="rId19"/>
    <sheet name="（13）-4" sheetId="27" state="hidden" r:id="rId20"/>
    <sheet name="（13) -5" sheetId="28" state="hidden" r:id="rId21"/>
    <sheet name="（14・15）-1  " sheetId="57" r:id="rId22"/>
    <sheet name="（14・15）-2" sheetId="31" r:id="rId23"/>
    <sheet name="（16）-1  " sheetId="59" r:id="rId24"/>
    <sheet name="（16）-2  " sheetId="60" r:id="rId25"/>
    <sheet name="（17）" sheetId="32" state="hidden" r:id="rId26"/>
    <sheet name="（18）" sheetId="34" state="hidden" r:id="rId27"/>
    <sheet name="（19）" sheetId="33" state="hidden" r:id="rId28"/>
    <sheet name="（20）" sheetId="35" state="hidden" r:id="rId29"/>
    <sheet name="（22）" sheetId="40" state="hidden" r:id="rId30"/>
    <sheet name="（23）" sheetId="42" r:id="rId31"/>
    <sheet name="（24）" sheetId="43" state="hidden" r:id="rId32"/>
    <sheet name="（25）" sheetId="44" state="hidden" r:id="rId33"/>
    <sheet name="（26）" sheetId="45" state="hidden" r:id="rId34"/>
    <sheet name="（27）" sheetId="46" state="hidden" r:id="rId35"/>
    <sheet name="（28）" sheetId="48" state="hidden" r:id="rId36"/>
    <sheet name="（29）" sheetId="49" state="hidden" r:id="rId37"/>
    <sheet name="(30) " sheetId="58" r:id="rId38"/>
    <sheet name="（31)" sheetId="61" r:id="rId39"/>
    <sheet name="DB（削除禁止）" sheetId="6" r:id="rId40"/>
    <sheet name="DB別表3（削除禁止）" sheetId="30" r:id="rId41"/>
    <sheet name="Sheet1" sheetId="50" r:id="rId42"/>
    <sheet name="Sheet2" sheetId="51" r:id="rId43"/>
  </sheets>
  <definedNames>
    <definedName name="_xlnm.Print_Area" localSheetId="1">'（1）'!$A$1:$I$33</definedName>
    <definedName name="_xlnm.Print_Area" localSheetId="11">'（9）'!$A$1:$I$54</definedName>
    <definedName name="_xlnm.Print_Area" localSheetId="39">'DB（削除禁止）'!$A$1:$EO$54</definedName>
    <definedName name="_xlnm.Print_Area" localSheetId="40">'DB別表3（削除禁止）'!$A$1:$L$80</definedName>
    <definedName name="_xlnm.Print_Area" localSheetId="0">作成要領・目次!$A$1:$E$54</definedName>
  </definedNames>
  <calcPr calcId="152511"/>
</workbook>
</file>

<file path=xl/calcChain.xml><?xml version="1.0" encoding="utf-8"?>
<calcChain xmlns="http://schemas.openxmlformats.org/spreadsheetml/2006/main">
  <c r="I9" i="61" l="1"/>
  <c r="I9" i="58"/>
  <c r="I9" i="60"/>
  <c r="I9" i="31"/>
  <c r="I19" i="59" l="1"/>
  <c r="I15" i="61" l="1"/>
  <c r="I15" i="60" l="1"/>
  <c r="I9" i="59"/>
  <c r="I13" i="59" s="1"/>
  <c r="I17" i="59" s="1"/>
  <c r="I23" i="59"/>
  <c r="I19" i="57"/>
  <c r="I9" i="57"/>
  <c r="I13" i="57" s="1"/>
  <c r="I17" i="57" s="1"/>
  <c r="I19" i="6"/>
  <c r="I25" i="59" l="1"/>
  <c r="I15" i="58" l="1"/>
  <c r="I23" i="57"/>
  <c r="I25" i="57" s="1"/>
  <c r="I26" i="5" l="1"/>
  <c r="I17" i="5"/>
  <c r="I8" i="5" l="1"/>
  <c r="I18" i="49" l="1"/>
  <c r="I23" i="49" s="1"/>
  <c r="I8" i="49"/>
  <c r="I18" i="48"/>
  <c r="I23" i="48" s="1"/>
  <c r="I8" i="48"/>
  <c r="I12" i="49"/>
  <c r="I16" i="49" s="1"/>
  <c r="I12" i="48"/>
  <c r="I16" i="48" s="1"/>
  <c r="B78" i="30"/>
  <c r="B74" i="30"/>
  <c r="D80" i="30"/>
  <c r="D79" i="30"/>
  <c r="D78" i="30"/>
  <c r="D76" i="30"/>
  <c r="D75" i="30"/>
  <c r="D74" i="30"/>
  <c r="F49" i="30"/>
  <c r="F48" i="30"/>
  <c r="I25" i="49" l="1"/>
  <c r="I25" i="48"/>
  <c r="C10" i="17" l="1"/>
  <c r="C8" i="17"/>
  <c r="C8" i="14"/>
  <c r="C24" i="9"/>
  <c r="C21" i="9"/>
  <c r="C18" i="9"/>
  <c r="C15" i="9"/>
  <c r="C11" i="9"/>
  <c r="C13" i="9"/>
  <c r="C15" i="7"/>
  <c r="C12" i="7"/>
  <c r="I32" i="15" l="1"/>
  <c r="K28" i="15"/>
  <c r="K26" i="15"/>
  <c r="BH13" i="6"/>
  <c r="BH12" i="6"/>
  <c r="BH10" i="6"/>
  <c r="I30" i="24" l="1"/>
  <c r="I8" i="46" l="1"/>
  <c r="I14" i="46" s="1"/>
  <c r="I8" i="45"/>
  <c r="I12" i="45"/>
  <c r="I16" i="45" s="1"/>
  <c r="I8" i="44"/>
  <c r="I14" i="44" s="1"/>
  <c r="I9" i="43"/>
  <c r="I13" i="43" s="1"/>
  <c r="I19" i="42"/>
  <c r="I23" i="42" s="1"/>
  <c r="I9" i="42"/>
  <c r="I13" i="42" s="1"/>
  <c r="I17" i="42" s="1"/>
  <c r="I25" i="42" l="1"/>
  <c r="I31" i="40"/>
  <c r="I37" i="40" s="1"/>
  <c r="I24" i="40"/>
  <c r="I20" i="40"/>
  <c r="I14" i="40"/>
  <c r="I18" i="40" s="1"/>
  <c r="I10" i="40"/>
  <c r="I19" i="39"/>
  <c r="I23" i="39" s="1"/>
  <c r="I9" i="39"/>
  <c r="I13" i="39"/>
  <c r="I17" i="39" s="1"/>
  <c r="I22" i="35"/>
  <c r="I24" i="35"/>
  <c r="I39" i="35" s="1"/>
  <c r="I12" i="35"/>
  <c r="I10" i="35"/>
  <c r="I26" i="40" l="1"/>
  <c r="I25" i="39"/>
  <c r="I47" i="35"/>
  <c r="I53" i="35" s="1"/>
  <c r="I34" i="35"/>
  <c r="I37" i="35"/>
  <c r="I45" i="35" s="1"/>
  <c r="I51" i="35" s="1"/>
  <c r="I8" i="34"/>
  <c r="I14" i="34" s="1"/>
  <c r="I8" i="33"/>
  <c r="I12" i="33"/>
  <c r="I16" i="33" s="1"/>
  <c r="I8" i="32"/>
  <c r="I12" i="32"/>
  <c r="I16" i="32" s="1"/>
  <c r="I15" i="31" l="1"/>
  <c r="I55" i="35"/>
  <c r="I23" i="19" l="1"/>
  <c r="I19" i="18"/>
  <c r="I34" i="15"/>
  <c r="I40" i="15"/>
  <c r="I17" i="15"/>
  <c r="I46" i="15" l="1"/>
  <c r="C11" i="19"/>
  <c r="I8" i="17"/>
  <c r="I38" i="28"/>
  <c r="I35" i="27"/>
  <c r="I21" i="25"/>
  <c r="I47" i="21"/>
  <c r="I20" i="17"/>
  <c r="I19" i="16"/>
  <c r="I18" i="13"/>
  <c r="I19" i="5"/>
  <c r="I24" i="5" s="1"/>
  <c r="F62" i="30"/>
  <c r="F61" i="30"/>
  <c r="F60" i="30"/>
  <c r="D62" i="30"/>
  <c r="D61" i="30"/>
  <c r="D60" i="30"/>
  <c r="B60" i="30"/>
  <c r="D58" i="30"/>
  <c r="D57" i="30"/>
  <c r="C57" i="30"/>
  <c r="D56" i="30"/>
  <c r="D55" i="30"/>
  <c r="C55" i="30"/>
  <c r="B55" i="30"/>
  <c r="B53" i="30"/>
  <c r="I18" i="33"/>
  <c r="I22" i="33" s="1"/>
  <c r="I24" i="33" s="1"/>
  <c r="D53" i="30"/>
  <c r="I18" i="32"/>
  <c r="I22" i="32" s="1"/>
  <c r="I24" i="32" s="1"/>
  <c r="D51" i="30"/>
  <c r="B51" i="30"/>
  <c r="B48" i="30"/>
  <c r="D46" i="30"/>
  <c r="D45" i="30"/>
  <c r="C45" i="30"/>
  <c r="D44" i="30"/>
  <c r="C44" i="30"/>
  <c r="D43" i="30"/>
  <c r="D42" i="30"/>
  <c r="C42" i="30"/>
  <c r="D41" i="30"/>
  <c r="C41" i="30"/>
  <c r="D39" i="30"/>
  <c r="D38" i="30"/>
  <c r="C38" i="30"/>
  <c r="B37" i="30"/>
  <c r="D24" i="30"/>
  <c r="D23" i="30"/>
  <c r="B23" i="30"/>
  <c r="B65" i="30"/>
  <c r="B31" i="30"/>
  <c r="B26" i="30"/>
  <c r="D68" i="30"/>
  <c r="D67" i="30"/>
  <c r="C67" i="30"/>
  <c r="D66" i="30"/>
  <c r="D65" i="30"/>
  <c r="C65" i="30"/>
  <c r="D49" i="30"/>
  <c r="D48" i="30"/>
  <c r="C48" i="30"/>
  <c r="D34" i="30"/>
  <c r="D33" i="30"/>
  <c r="C33" i="30"/>
  <c r="D32" i="30"/>
  <c r="D31" i="30"/>
  <c r="C31" i="30"/>
  <c r="D29" i="30"/>
  <c r="D28" i="30"/>
  <c r="C28" i="30"/>
  <c r="D27" i="30"/>
  <c r="D26" i="30"/>
  <c r="C26" i="30"/>
  <c r="B18" i="30"/>
  <c r="D21" i="30"/>
  <c r="D20" i="30"/>
  <c r="D19" i="30"/>
  <c r="D18" i="30"/>
  <c r="C20" i="30"/>
  <c r="C18" i="30"/>
  <c r="B6" i="30"/>
  <c r="B16" i="30"/>
  <c r="B10" i="30"/>
  <c r="B8" i="30"/>
  <c r="B70" i="30"/>
  <c r="B72" i="30"/>
  <c r="F72" i="30"/>
  <c r="D72" i="30"/>
  <c r="I18" i="45"/>
  <c r="I22" i="45" s="1"/>
  <c r="I24" i="45" s="1"/>
  <c r="D70" i="30"/>
  <c r="I19" i="14"/>
  <c r="D16" i="30"/>
  <c r="I18" i="4"/>
  <c r="D10" i="30"/>
  <c r="I37" i="9"/>
  <c r="D8" i="30"/>
  <c r="I28" i="7"/>
  <c r="D6" i="30"/>
  <c r="B12" i="30"/>
  <c r="B2" i="30"/>
  <c r="F14" i="30"/>
  <c r="D14" i="30"/>
  <c r="F13" i="30"/>
  <c r="D13" i="30"/>
  <c r="D12" i="30"/>
  <c r="D4" i="30"/>
  <c r="D3" i="30"/>
  <c r="D2" i="30"/>
  <c r="I43" i="28" l="1"/>
  <c r="I13" i="24"/>
  <c r="I28" i="28"/>
  <c r="I32" i="28"/>
  <c r="I36" i="28" s="1"/>
  <c r="I18" i="28"/>
  <c r="H16" i="28"/>
  <c r="I45" i="28" l="1"/>
  <c r="I23" i="28"/>
  <c r="BC12" i="6"/>
  <c r="I9" i="19" s="1"/>
  <c r="BC13" i="6"/>
  <c r="I42" i="27" l="1"/>
  <c r="I11" i="27"/>
  <c r="I25" i="27" s="1"/>
  <c r="I14" i="27"/>
  <c r="I27" i="27" s="1"/>
  <c r="I33" i="25"/>
  <c r="I39" i="25" s="1"/>
  <c r="I10" i="25"/>
  <c r="I15" i="25" s="1"/>
  <c r="I19" i="25" s="1"/>
  <c r="I26" i="25"/>
  <c r="I28" i="25" l="1"/>
  <c r="I33" i="27"/>
  <c r="I40" i="27" s="1"/>
  <c r="I29" i="27"/>
  <c r="I35" i="24"/>
  <c r="I17" i="24"/>
  <c r="I52" i="21"/>
  <c r="I28" i="19"/>
  <c r="I17" i="19"/>
  <c r="I21" i="19" s="1"/>
  <c r="I24" i="18"/>
  <c r="I25" i="17"/>
  <c r="I24" i="16"/>
  <c r="I23" i="14"/>
  <c r="I23" i="13"/>
  <c r="I22" i="4"/>
  <c r="I41" i="9"/>
  <c r="I32" i="7"/>
  <c r="BH26" i="6"/>
  <c r="I14" i="21"/>
  <c r="BH17" i="6"/>
  <c r="BH11" i="6"/>
  <c r="I46" i="27" l="1"/>
  <c r="I16" i="21"/>
  <c r="I20" i="21" s="1"/>
  <c r="I24" i="21"/>
  <c r="I20" i="24"/>
  <c r="I24" i="24" s="1"/>
  <c r="I28" i="24" s="1"/>
  <c r="I37" i="24" s="1"/>
  <c r="I8" i="15"/>
  <c r="I19" i="15" s="1"/>
  <c r="I23" i="15" s="1"/>
  <c r="I54" i="21" l="1"/>
  <c r="I61" i="21" s="1"/>
  <c r="I28" i="15"/>
  <c r="I37" i="21"/>
  <c r="I39" i="21"/>
  <c r="I12" i="7"/>
  <c r="I30" i="19"/>
  <c r="I9" i="18"/>
  <c r="I8" i="16"/>
  <c r="I10" i="6"/>
  <c r="I15" i="7" s="1"/>
  <c r="I9" i="6"/>
  <c r="X14" i="6"/>
  <c r="X21" i="6"/>
  <c r="X20" i="6"/>
  <c r="X19" i="6"/>
  <c r="X18" i="6"/>
  <c r="X17" i="6"/>
  <c r="X16" i="6"/>
  <c r="I18" i="9" s="1"/>
  <c r="X15" i="6"/>
  <c r="X13" i="6"/>
  <c r="I21" i="9" s="1"/>
  <c r="X12" i="6"/>
  <c r="I24" i="9" s="1"/>
  <c r="X11" i="6"/>
  <c r="I15" i="9" s="1"/>
  <c r="X10" i="6"/>
  <c r="I8" i="14"/>
  <c r="I8" i="13"/>
  <c r="I8" i="4"/>
  <c r="I12" i="4" s="1"/>
  <c r="I16" i="4" s="1"/>
  <c r="I9" i="11"/>
  <c r="I15" i="11" s="1"/>
  <c r="I9" i="8"/>
  <c r="I15" i="8" s="1"/>
  <c r="I8" i="3"/>
  <c r="I9" i="7"/>
  <c r="I11" i="9"/>
  <c r="I9" i="9"/>
  <c r="I13" i="18" l="1"/>
  <c r="I17" i="18" s="1"/>
  <c r="I26" i="18" s="1"/>
  <c r="I12" i="13"/>
  <c r="I16" i="13" s="1"/>
  <c r="I25" i="13" s="1"/>
  <c r="I42" i="15"/>
  <c r="I48" i="15" s="1"/>
  <c r="I50" i="15" s="1"/>
  <c r="I13" i="14"/>
  <c r="I17" i="14" s="1"/>
  <c r="I25" i="14" s="1"/>
  <c r="I14" i="17"/>
  <c r="I18" i="17" s="1"/>
  <c r="I27" i="17" s="1"/>
  <c r="I45" i="21"/>
  <c r="I63" i="21" s="1"/>
  <c r="I41" i="21"/>
  <c r="I13" i="16"/>
  <c r="I17" i="16" s="1"/>
  <c r="I26" i="16" s="1"/>
  <c r="I27" i="9"/>
  <c r="I31" i="9" s="1"/>
  <c r="I35" i="9" s="1"/>
  <c r="I43" i="9" s="1"/>
  <c r="I18" i="7"/>
  <c r="I22" i="7" s="1"/>
  <c r="I26" i="7" l="1"/>
  <c r="I14" i="3"/>
  <c r="I34" i="7" l="1"/>
  <c r="I24" i="4"/>
</calcChain>
</file>

<file path=xl/comments1.xml><?xml version="1.0" encoding="utf-8"?>
<comments xmlns="http://schemas.openxmlformats.org/spreadsheetml/2006/main">
  <authors>
    <author>堅田 薫(katata-kaoru)</author>
  </authors>
  <commentList>
    <comment ref="I11" authorId="0" shapeId="0">
      <text>
        <r>
          <rPr>
            <b/>
            <sz val="9"/>
            <color indexed="81"/>
            <rFont val="MS P ゴシック"/>
            <family val="3"/>
            <charset val="128"/>
          </rPr>
          <t>基準額は１施設あたり</t>
        </r>
      </text>
    </comment>
  </commentList>
</comments>
</file>

<file path=xl/comments2.xml><?xml version="1.0" encoding="utf-8"?>
<comments xmlns="http://schemas.openxmlformats.org/spreadsheetml/2006/main">
  <authors>
    <author>厚生労働省ネットワークシステム</author>
  </authors>
  <commentList>
    <comment ref="BI44" authorId="0" shapeId="0">
      <text>
        <r>
          <rPr>
            <b/>
            <sz val="9"/>
            <color indexed="81"/>
            <rFont val="ＭＳ Ｐゴシック"/>
            <family val="3"/>
            <charset val="128"/>
          </rPr>
          <t>厚生労働大臣が特別に認める場合は22,862,000円</t>
        </r>
      </text>
    </comment>
  </commentList>
</comments>
</file>

<file path=xl/sharedStrings.xml><?xml version="1.0" encoding="utf-8"?>
<sst xmlns="http://schemas.openxmlformats.org/spreadsheetml/2006/main" count="1368" uniqueCount="415">
  <si>
    <t>休日夜間急患センター施設整備事業</t>
  </si>
  <si>
    <t>病院群輪番制病院及び共同利用型病院施設整備事業</t>
  </si>
  <si>
    <t>救急ヘリポート施設整備事業</t>
  </si>
  <si>
    <t>ヘリポート周辺施設施設整備事業</t>
  </si>
  <si>
    <t>救命救急センター施設整備事業</t>
  </si>
  <si>
    <t>小児初期救急センター施設整備事業</t>
  </si>
  <si>
    <t>小児集中治療室施設整備事業</t>
  </si>
  <si>
    <t>小児医療施設施設整備事業</t>
  </si>
  <si>
    <t>周産期医療施設施設整備事業</t>
  </si>
  <si>
    <t>地域療育支援施設施設整備事業</t>
  </si>
  <si>
    <t>共同利用施設施設整備事業</t>
  </si>
  <si>
    <t>医療施設近代化施設整備事業</t>
  </si>
  <si>
    <t>基幹災害拠点病院施設整備事業</t>
  </si>
  <si>
    <t>地域災害拠点病院施設整備事業</t>
  </si>
  <si>
    <t>腎移植施設施設整備事業</t>
  </si>
  <si>
    <t>特殊病室施設整備事業</t>
  </si>
  <si>
    <t>肝移植施設施設整備事業</t>
  </si>
  <si>
    <t>治験施設施設整備事業</t>
  </si>
  <si>
    <t>医療施設耐震整備事業</t>
  </si>
  <si>
    <t>南海トラフ地震に係る津波避難対策緊急事業</t>
  </si>
  <si>
    <t>アスベスト除去等整備事業</t>
  </si>
  <si>
    <t>医療機器管理室施設整備事業</t>
  </si>
  <si>
    <t>地球温暖化対策施設整備事業</t>
  </si>
  <si>
    <t>ヘリポート</t>
    <phoneticPr fontId="1"/>
  </si>
  <si>
    <t>補強</t>
    <rPh sb="0" eb="2">
      <t>ホキョウ</t>
    </rPh>
    <phoneticPr fontId="1"/>
  </si>
  <si>
    <t>開放型病棟</t>
    <rPh sb="0" eb="3">
      <t>カイホウガタ</t>
    </rPh>
    <rPh sb="3" eb="5">
      <t>ビョウトウ</t>
    </rPh>
    <phoneticPr fontId="1"/>
  </si>
  <si>
    <t>療養病床療養環境改善事業</t>
    <rPh sb="0" eb="2">
      <t>リョウヨウ</t>
    </rPh>
    <rPh sb="2" eb="4">
      <t>ビョウショウ</t>
    </rPh>
    <rPh sb="4" eb="6">
      <t>リョウヨウ</t>
    </rPh>
    <rPh sb="6" eb="8">
      <t>カンキョウ</t>
    </rPh>
    <rPh sb="8" eb="10">
      <t>カイゼン</t>
    </rPh>
    <rPh sb="10" eb="12">
      <t>ジギョウ</t>
    </rPh>
    <phoneticPr fontId="1"/>
  </si>
  <si>
    <t>１．交付要綱別表2第2欄に定める基準面積（㎡）</t>
    <rPh sb="2" eb="4">
      <t>コウフ</t>
    </rPh>
    <rPh sb="4" eb="6">
      <t>ヨウコウ</t>
    </rPh>
    <rPh sb="6" eb="8">
      <t>ベッピョウ</t>
    </rPh>
    <rPh sb="9" eb="10">
      <t>ダイ</t>
    </rPh>
    <rPh sb="11" eb="12">
      <t>ラン</t>
    </rPh>
    <rPh sb="13" eb="14">
      <t>サダ</t>
    </rPh>
    <rPh sb="16" eb="18">
      <t>キジュン</t>
    </rPh>
    <rPh sb="18" eb="20">
      <t>メンセキ</t>
    </rPh>
    <phoneticPr fontId="1"/>
  </si>
  <si>
    <t>２．建築面積（㎡）</t>
    <rPh sb="2" eb="4">
      <t>ケンチク</t>
    </rPh>
    <rPh sb="4" eb="6">
      <t>メンセキ</t>
    </rPh>
    <phoneticPr fontId="1"/>
  </si>
  <si>
    <t>事業区分：</t>
    <rPh sb="0" eb="2">
      <t>ジギョウ</t>
    </rPh>
    <rPh sb="2" eb="4">
      <t>クブン</t>
    </rPh>
    <phoneticPr fontId="1"/>
  </si>
  <si>
    <t>施設の名称：</t>
    <rPh sb="0" eb="2">
      <t>シセツ</t>
    </rPh>
    <rPh sb="3" eb="5">
      <t>メイショウ</t>
    </rPh>
    <phoneticPr fontId="1"/>
  </si>
  <si>
    <t>（３）救急ヘリポート施設整備事業</t>
    <phoneticPr fontId="1"/>
  </si>
  <si>
    <t>作成日：</t>
    <rPh sb="0" eb="3">
      <t>サクセイビ</t>
    </rPh>
    <phoneticPr fontId="1"/>
  </si>
  <si>
    <t>Ａ③</t>
    <phoneticPr fontId="1"/>
  </si>
  <si>
    <t>　</t>
    <phoneticPr fontId="1"/>
  </si>
  <si>
    <t>１．交付要綱別表2第2欄に定める基準単価（円）</t>
    <rPh sb="2" eb="4">
      <t>コウフ</t>
    </rPh>
    <rPh sb="4" eb="6">
      <t>ヨウコウ</t>
    </rPh>
    <rPh sb="6" eb="8">
      <t>ベッピョウ</t>
    </rPh>
    <rPh sb="9" eb="10">
      <t>ダイ</t>
    </rPh>
    <rPh sb="11" eb="12">
      <t>ラン</t>
    </rPh>
    <rPh sb="13" eb="14">
      <t>サダ</t>
    </rPh>
    <rPh sb="16" eb="18">
      <t>キジュン</t>
    </rPh>
    <rPh sb="18" eb="20">
      <t>タンカ</t>
    </rPh>
    <rPh sb="21" eb="22">
      <t>エン</t>
    </rPh>
    <phoneticPr fontId="1"/>
  </si>
  <si>
    <t>２．整備箇所数（箇所）</t>
    <rPh sb="2" eb="4">
      <t>セイビ</t>
    </rPh>
    <rPh sb="4" eb="6">
      <t>カショ</t>
    </rPh>
    <rPh sb="6" eb="7">
      <t>スウ</t>
    </rPh>
    <rPh sb="8" eb="10">
      <t>カショ</t>
    </rPh>
    <phoneticPr fontId="1"/>
  </si>
  <si>
    <t>３．当該年度進捗率（％）</t>
    <rPh sb="2" eb="4">
      <t>トウガイ</t>
    </rPh>
    <rPh sb="4" eb="6">
      <t>ネンド</t>
    </rPh>
    <rPh sb="6" eb="9">
      <t>シンチョクリツ</t>
    </rPh>
    <phoneticPr fontId="1"/>
  </si>
  <si>
    <t>医療提供体制施設整備交付金</t>
    <rPh sb="0" eb="4">
      <t>イリョウテイキョウ</t>
    </rPh>
    <rPh sb="4" eb="6">
      <t>タイセイ</t>
    </rPh>
    <rPh sb="6" eb="8">
      <t>シセツ</t>
    </rPh>
    <rPh sb="8" eb="10">
      <t>セイビ</t>
    </rPh>
    <rPh sb="10" eb="13">
      <t>コウフキン</t>
    </rPh>
    <phoneticPr fontId="1"/>
  </si>
  <si>
    <t>　（小数点以下第3位を四捨五入）</t>
    <rPh sb="2" eb="5">
      <t>ショウスウテン</t>
    </rPh>
    <rPh sb="5" eb="7">
      <t>イカ</t>
    </rPh>
    <rPh sb="7" eb="8">
      <t>ダイ</t>
    </rPh>
    <rPh sb="9" eb="10">
      <t>イ</t>
    </rPh>
    <rPh sb="11" eb="15">
      <t>シシャゴニュウ</t>
    </rPh>
    <phoneticPr fontId="1"/>
  </si>
  <si>
    <t>３．１と２を比較して低い方（㎡）</t>
    <rPh sb="6" eb="8">
      <t>ヒカク</t>
    </rPh>
    <rPh sb="10" eb="11">
      <t>ヒク</t>
    </rPh>
    <rPh sb="12" eb="13">
      <t>ホウ</t>
    </rPh>
    <phoneticPr fontId="1"/>
  </si>
  <si>
    <t>４．当該年度進捗率（％）</t>
    <rPh sb="2" eb="4">
      <t>トウガイ</t>
    </rPh>
    <rPh sb="4" eb="6">
      <t>ネンド</t>
    </rPh>
    <rPh sb="6" eb="9">
      <t>シンチョクリツ</t>
    </rPh>
    <phoneticPr fontId="1"/>
  </si>
  <si>
    <t>Ａ①</t>
    <phoneticPr fontId="1"/>
  </si>
  <si>
    <t>Ａ②</t>
    <phoneticPr fontId="1"/>
  </si>
  <si>
    <t>※進捗率において端数が生じた場合は、小数点以下第2位までの扱いとする。</t>
    <rPh sb="1" eb="4">
      <t>シンチョクリツ</t>
    </rPh>
    <rPh sb="8" eb="10">
      <t>ハスウ</t>
    </rPh>
    <rPh sb="11" eb="12">
      <t>ショウ</t>
    </rPh>
    <rPh sb="14" eb="16">
      <t>バアイ</t>
    </rPh>
    <rPh sb="18" eb="21">
      <t>ショウスウテン</t>
    </rPh>
    <rPh sb="21" eb="23">
      <t>イカ</t>
    </rPh>
    <rPh sb="23" eb="24">
      <t>ダイ</t>
    </rPh>
    <rPh sb="25" eb="26">
      <t>イ</t>
    </rPh>
    <rPh sb="29" eb="30">
      <t>アツカ</t>
    </rPh>
    <phoneticPr fontId="1"/>
  </si>
  <si>
    <t>（６）小児救急医療拠点病院施設整備事業</t>
    <phoneticPr fontId="1"/>
  </si>
  <si>
    <t>（１）休日夜間急患センター施設整備事業</t>
    <phoneticPr fontId="1"/>
  </si>
  <si>
    <t>特別に必要がある場合</t>
    <rPh sb="0" eb="2">
      <t>トクベツ</t>
    </rPh>
    <rPh sb="3" eb="5">
      <t>ヒツヨウ</t>
    </rPh>
    <rPh sb="8" eb="10">
      <t>バアイ</t>
    </rPh>
    <phoneticPr fontId="1"/>
  </si>
  <si>
    <t>【選択】</t>
    <rPh sb="1" eb="3">
      <t>センタク</t>
    </rPh>
    <phoneticPr fontId="1"/>
  </si>
  <si>
    <t>(1) 人口10 万人以上の場合</t>
    <phoneticPr fontId="1"/>
  </si>
  <si>
    <t>(2) 人口 5 万人以上10 万人未満の場合</t>
    <phoneticPr fontId="1"/>
  </si>
  <si>
    <t>（２）病院群輪番制病院及び共同利用型病院施設整備事業</t>
    <phoneticPr fontId="1"/>
  </si>
  <si>
    <t>　を証明する理由書等を提出すること。</t>
    <phoneticPr fontId="1"/>
  </si>
  <si>
    <t>※特別に必要があるとして基準面積を拡大する場合は、都道府県より、特別に必要があること</t>
    <rPh sb="1" eb="3">
      <t>トクベツ</t>
    </rPh>
    <rPh sb="4" eb="6">
      <t>ヒツヨウ</t>
    </rPh>
    <rPh sb="17" eb="19">
      <t>カクダイ</t>
    </rPh>
    <rPh sb="21" eb="23">
      <t>バアイ</t>
    </rPh>
    <rPh sb="25" eb="29">
      <t>トドウフケン</t>
    </rPh>
    <rPh sb="32" eb="34">
      <t>トクベツ</t>
    </rPh>
    <rPh sb="35" eb="37">
      <t>ヒツヨウ</t>
    </rPh>
    <phoneticPr fontId="1"/>
  </si>
  <si>
    <t>(1) 人口10 万人以上の場合　＊特別に必要がある場合</t>
    <phoneticPr fontId="1"/>
  </si>
  <si>
    <t>(2) 人口 5 万人以上10 万人未満の場合　＊特別に必要がある場合</t>
    <phoneticPr fontId="1"/>
  </si>
  <si>
    <t>病床数（床）【選択】</t>
    <rPh sb="0" eb="3">
      <t>ビョウショウスウ</t>
    </rPh>
    <rPh sb="4" eb="5">
      <t>ユカ</t>
    </rPh>
    <rPh sb="7" eb="9">
      <t>センタク</t>
    </rPh>
    <phoneticPr fontId="1"/>
  </si>
  <si>
    <t>2以上</t>
    <rPh sb="1" eb="3">
      <t>イジョウ</t>
    </rPh>
    <phoneticPr fontId="1"/>
  </si>
  <si>
    <t>３．１の合計と２を比較して低い方（㎡）</t>
    <rPh sb="4" eb="6">
      <t>ゴウケイ</t>
    </rPh>
    <rPh sb="9" eb="11">
      <t>ヒカク</t>
    </rPh>
    <rPh sb="13" eb="14">
      <t>ヒク</t>
    </rPh>
    <rPh sb="15" eb="16">
      <t>ホウ</t>
    </rPh>
    <phoneticPr fontId="1"/>
  </si>
  <si>
    <t>特別に必要がある場合に該当しない</t>
    <rPh sb="0" eb="2">
      <t>トクベツ</t>
    </rPh>
    <rPh sb="3" eb="5">
      <t>ヒツヨウ</t>
    </rPh>
    <rPh sb="8" eb="10">
      <t>バアイ</t>
    </rPh>
    <rPh sb="11" eb="13">
      <t>ガイトウ</t>
    </rPh>
    <phoneticPr fontId="1"/>
  </si>
  <si>
    <t>（４）ヘリポート周辺施設施設整備事業</t>
    <phoneticPr fontId="1"/>
  </si>
  <si>
    <t>格納庫</t>
    <rPh sb="0" eb="3">
      <t>カクノウコ</t>
    </rPh>
    <phoneticPr fontId="1"/>
  </si>
  <si>
    <t>給油施設</t>
    <rPh sb="0" eb="2">
      <t>キュウユ</t>
    </rPh>
    <rPh sb="2" eb="4">
      <t>シセツ</t>
    </rPh>
    <phoneticPr fontId="1"/>
  </si>
  <si>
    <t>融雪施設</t>
    <rPh sb="0" eb="2">
      <t>ユウセツ</t>
    </rPh>
    <rPh sb="2" eb="4">
      <t>シセツ</t>
    </rPh>
    <phoneticPr fontId="1"/>
  </si>
  <si>
    <t>ヘリポート</t>
    <phoneticPr fontId="1"/>
  </si>
  <si>
    <t>整備対象：</t>
    <rPh sb="0" eb="2">
      <t>セイビ</t>
    </rPh>
    <rPh sb="2" eb="4">
      <t>タイショウ</t>
    </rPh>
    <phoneticPr fontId="1"/>
  </si>
  <si>
    <t>（５）救命救急センター施設整備事業</t>
    <phoneticPr fontId="1"/>
  </si>
  <si>
    <t>※30床未満の場合1床につき</t>
    <rPh sb="3" eb="4">
      <t>ユカ</t>
    </rPh>
    <rPh sb="4" eb="6">
      <t>ミマン</t>
    </rPh>
    <rPh sb="7" eb="9">
      <t>バアイ</t>
    </rPh>
    <rPh sb="10" eb="11">
      <t>ユカ</t>
    </rPh>
    <phoneticPr fontId="1"/>
  </si>
  <si>
    <t>病床数（床）</t>
    <rPh sb="0" eb="3">
      <t>ビョウショウスウ</t>
    </rPh>
    <rPh sb="4" eb="5">
      <t>ユカ</t>
    </rPh>
    <phoneticPr fontId="1"/>
  </si>
  <si>
    <t>6以上</t>
    <rPh sb="1" eb="3">
      <t>イジョウ</t>
    </rPh>
    <phoneticPr fontId="1"/>
  </si>
  <si>
    <t>4以上</t>
    <rPh sb="1" eb="3">
      <t>イジョウ</t>
    </rPh>
    <phoneticPr fontId="1"/>
  </si>
  <si>
    <t>備考</t>
    <rPh sb="0" eb="2">
      <t>ビコウ</t>
    </rPh>
    <phoneticPr fontId="1"/>
  </si>
  <si>
    <t>救命救急センターとして必要な各部門</t>
    <rPh sb="0" eb="2">
      <t>キュウメイ</t>
    </rPh>
    <rPh sb="2" eb="4">
      <t>キュウキュウ</t>
    </rPh>
    <rPh sb="11" eb="13">
      <t>ヒツヨウ</t>
    </rPh>
    <rPh sb="14" eb="17">
      <t>カクブモン</t>
    </rPh>
    <phoneticPr fontId="1"/>
  </si>
  <si>
    <t>病院群輪番制病院及び共同利用型病院として必要な各部門</t>
    <rPh sb="20" eb="22">
      <t>ヒツヨウ</t>
    </rPh>
    <rPh sb="23" eb="26">
      <t>カクブモン</t>
    </rPh>
    <phoneticPr fontId="1"/>
  </si>
  <si>
    <t>救命救急センターとして必要な各部門</t>
    <phoneticPr fontId="1"/>
  </si>
  <si>
    <t>病院群輪番制病院及び共同利用型病院として必要な各部門</t>
    <phoneticPr fontId="1"/>
  </si>
  <si>
    <t>ヘリポート</t>
    <phoneticPr fontId="1"/>
  </si>
  <si>
    <t>補強が必要と認められるもの</t>
    <rPh sb="0" eb="2">
      <t>ホキョウ</t>
    </rPh>
    <rPh sb="3" eb="5">
      <t>ヒツヨウ</t>
    </rPh>
    <rPh sb="6" eb="7">
      <t>ミト</t>
    </rPh>
    <phoneticPr fontId="1"/>
  </si>
  <si>
    <t>補強</t>
    <rPh sb="0" eb="2">
      <t>ホキョウ</t>
    </rPh>
    <phoneticPr fontId="1"/>
  </si>
  <si>
    <t>小児救急医療拠点病院施設整備事業</t>
  </si>
  <si>
    <t>小児初期救急センター施設整備事業</t>
    <phoneticPr fontId="1"/>
  </si>
  <si>
    <t>（７）小児初期救急センター施設整備事業</t>
    <phoneticPr fontId="1"/>
  </si>
  <si>
    <t>（８）小児集中治療室施設整備事業</t>
    <phoneticPr fontId="1"/>
  </si>
  <si>
    <t>小児集中治療室病床数（床）</t>
    <rPh sb="0" eb="2">
      <t>ショウニ</t>
    </rPh>
    <rPh sb="2" eb="4">
      <t>シュウチュウ</t>
    </rPh>
    <rPh sb="4" eb="7">
      <t>チリョウシツ</t>
    </rPh>
    <rPh sb="7" eb="10">
      <t>ビョウショウスウ</t>
    </rPh>
    <rPh sb="11" eb="12">
      <t>ユカ</t>
    </rPh>
    <phoneticPr fontId="1"/>
  </si>
  <si>
    <t>(1) 都道府県人口規模400万人以上の場合</t>
  </si>
  <si>
    <t>(2) 都道府県人口規模400万人未満の場合</t>
  </si>
  <si>
    <t>(3) 小児総合病院</t>
  </si>
  <si>
    <t>（９）小児医療施設施設整備事業</t>
    <phoneticPr fontId="1"/>
  </si>
  <si>
    <t>（１０）周産期医療施設施設整備事業</t>
    <phoneticPr fontId="1"/>
  </si>
  <si>
    <t>（１１）地域療育支援施設施設整備事業</t>
    <phoneticPr fontId="1"/>
  </si>
  <si>
    <t>（１２）共同利用施設施設整備事業</t>
    <phoneticPr fontId="1"/>
  </si>
  <si>
    <t>特殊診療棟</t>
    <rPh sb="0" eb="2">
      <t>トクシュ</t>
    </rPh>
    <rPh sb="2" eb="4">
      <t>シンリョウ</t>
    </rPh>
    <rPh sb="4" eb="5">
      <t>トウ</t>
    </rPh>
    <phoneticPr fontId="1"/>
  </si>
  <si>
    <t>構造【選択】</t>
    <rPh sb="0" eb="2">
      <t>コウゾウ</t>
    </rPh>
    <rPh sb="3" eb="5">
      <t>センタク</t>
    </rPh>
    <phoneticPr fontId="1"/>
  </si>
  <si>
    <t>事業区分</t>
    <rPh sb="0" eb="2">
      <t>ジギョウ</t>
    </rPh>
    <rPh sb="2" eb="4">
      <t>クブン</t>
    </rPh>
    <phoneticPr fontId="1"/>
  </si>
  <si>
    <t>小分類</t>
    <rPh sb="0" eb="3">
      <t>ショウブンルイ</t>
    </rPh>
    <phoneticPr fontId="1"/>
  </si>
  <si>
    <t>（１３）医療施設近代化施設整備事業</t>
    <phoneticPr fontId="1"/>
  </si>
  <si>
    <t>公的団体または持分のない法人に該当しない</t>
    <rPh sb="15" eb="17">
      <t>ガイトウ</t>
    </rPh>
    <phoneticPr fontId="1"/>
  </si>
  <si>
    <t>公的団体または持分のない法人に該当する</t>
    <rPh sb="15" eb="17">
      <t>ガイトウ</t>
    </rPh>
    <phoneticPr fontId="1"/>
  </si>
  <si>
    <t>６．別表3に定める1㎡あたり単価（円）</t>
    <rPh sb="17" eb="18">
      <t>エン</t>
    </rPh>
    <phoneticPr fontId="1"/>
  </si>
  <si>
    <t>７．建築単価（円）</t>
    <rPh sb="7" eb="8">
      <t>エン</t>
    </rPh>
    <phoneticPr fontId="1"/>
  </si>
  <si>
    <t>８．６と７を比較して低い方（円）</t>
    <rPh sb="6" eb="8">
      <t>ヒカク</t>
    </rPh>
    <rPh sb="10" eb="11">
      <t>ヒク</t>
    </rPh>
    <rPh sb="12" eb="13">
      <t>ホウ</t>
    </rPh>
    <rPh sb="14" eb="15">
      <t>エン</t>
    </rPh>
    <phoneticPr fontId="1"/>
  </si>
  <si>
    <t>１の合計</t>
    <rPh sb="2" eb="4">
      <t>ゴウケイ</t>
    </rPh>
    <phoneticPr fontId="1"/>
  </si>
  <si>
    <t>５．当該年度基準面積（３×４）</t>
    <rPh sb="2" eb="4">
      <t>トウガイ</t>
    </rPh>
    <rPh sb="4" eb="6">
      <t>ネンド</t>
    </rPh>
    <rPh sb="6" eb="8">
      <t>キジュン</t>
    </rPh>
    <rPh sb="8" eb="10">
      <t>メンセキ</t>
    </rPh>
    <phoneticPr fontId="1"/>
  </si>
  <si>
    <t>９．当該年度基準額（５×８）</t>
    <rPh sb="2" eb="4">
      <t>トウガイ</t>
    </rPh>
    <rPh sb="4" eb="6">
      <t>ネンド</t>
    </rPh>
    <rPh sb="6" eb="8">
      <t>キジュン</t>
    </rPh>
    <rPh sb="8" eb="9">
      <t>ガク</t>
    </rPh>
    <phoneticPr fontId="1"/>
  </si>
  <si>
    <t>４．当該年度基準額（１×２×３）</t>
    <phoneticPr fontId="1"/>
  </si>
  <si>
    <t>４．当該年度基準額（１×２×３）</t>
    <phoneticPr fontId="1"/>
  </si>
  <si>
    <t>５．当該年度基準面積（３×４）</t>
    <rPh sb="2" eb="4">
      <t>トウガイ</t>
    </rPh>
    <rPh sb="4" eb="6">
      <t>ネンド</t>
    </rPh>
    <rPh sb="6" eb="8">
      <t>キジュン</t>
    </rPh>
    <rPh sb="8" eb="10">
      <t>メンセキ</t>
    </rPh>
    <phoneticPr fontId="1"/>
  </si>
  <si>
    <t>９．当該年度基準額（５×８）</t>
    <phoneticPr fontId="1"/>
  </si>
  <si>
    <t>５．当該年度基準面積（３×４）</t>
    <phoneticPr fontId="1"/>
  </si>
  <si>
    <t>　ア　病棟整備</t>
    <phoneticPr fontId="1"/>
  </si>
  <si>
    <t>　イ　病棟外の整備による加算</t>
    <rPh sb="3" eb="5">
      <t>ビョウトウ</t>
    </rPh>
    <rPh sb="5" eb="6">
      <t>ガイ</t>
    </rPh>
    <rPh sb="7" eb="9">
      <t>セイビ</t>
    </rPh>
    <rPh sb="12" eb="14">
      <t>カサン</t>
    </rPh>
    <phoneticPr fontId="1"/>
  </si>
  <si>
    <t>　ア　病棟整備</t>
    <rPh sb="5" eb="7">
      <t>セイビ</t>
    </rPh>
    <phoneticPr fontId="1"/>
  </si>
  <si>
    <t>特殊診療棟</t>
    <rPh sb="0" eb="2">
      <t>トクシュ</t>
    </rPh>
    <rPh sb="2" eb="4">
      <t>シンリョウ</t>
    </rPh>
    <rPh sb="4" eb="5">
      <t>トウ</t>
    </rPh>
    <phoneticPr fontId="1"/>
  </si>
  <si>
    <t>開放型病棟</t>
    <rPh sb="0" eb="3">
      <t>カイホウガタ</t>
    </rPh>
    <rPh sb="3" eb="5">
      <t>ビョウトウ</t>
    </rPh>
    <phoneticPr fontId="1"/>
  </si>
  <si>
    <t>電子カルテシステムの整備を実施しない</t>
    <phoneticPr fontId="1"/>
  </si>
  <si>
    <t>10．当該年度基準額（５×８＋９）</t>
    <phoneticPr fontId="1"/>
  </si>
  <si>
    <t>　Ｂ．基準面積の算出にかかる上限病床数</t>
    <rPh sb="3" eb="5">
      <t>キジュン</t>
    </rPh>
    <rPh sb="5" eb="7">
      <t>メンセキ</t>
    </rPh>
    <rPh sb="8" eb="10">
      <t>サンシュツ</t>
    </rPh>
    <rPh sb="14" eb="16">
      <t>ジョウゲン</t>
    </rPh>
    <rPh sb="16" eb="19">
      <t>ビョウショウスウ</t>
    </rPh>
    <phoneticPr fontId="1"/>
  </si>
  <si>
    <t>１．病床数（床）</t>
    <rPh sb="2" eb="5">
      <t>ビョウショウスウ</t>
    </rPh>
    <rPh sb="6" eb="7">
      <t>ユカ</t>
    </rPh>
    <phoneticPr fontId="1"/>
  </si>
  <si>
    <t>　Ａ．整備後の整備区域の病床数</t>
    <rPh sb="3" eb="5">
      <t>セイビ</t>
    </rPh>
    <rPh sb="5" eb="6">
      <t>ゴ</t>
    </rPh>
    <rPh sb="7" eb="9">
      <t>セイビ</t>
    </rPh>
    <rPh sb="9" eb="11">
      <t>クイキ</t>
    </rPh>
    <rPh sb="12" eb="15">
      <t>ビョウショウスウ</t>
    </rPh>
    <phoneticPr fontId="1"/>
  </si>
  <si>
    <t>　ＡとＢを比較して低い方　※基準面積の算出に使用</t>
    <rPh sb="5" eb="7">
      <t>ヒカク</t>
    </rPh>
    <rPh sb="9" eb="10">
      <t>ヒク</t>
    </rPh>
    <rPh sb="11" eb="12">
      <t>ホウ</t>
    </rPh>
    <phoneticPr fontId="1"/>
  </si>
  <si>
    <t>２．交付要綱別表2第2欄に定める基準面積（㎡）</t>
    <rPh sb="2" eb="4">
      <t>コウフ</t>
    </rPh>
    <rPh sb="4" eb="6">
      <t>ヨウコウ</t>
    </rPh>
    <rPh sb="6" eb="8">
      <t>ベッピョウ</t>
    </rPh>
    <rPh sb="9" eb="10">
      <t>ダイ</t>
    </rPh>
    <rPh sb="11" eb="12">
      <t>ラン</t>
    </rPh>
    <rPh sb="13" eb="14">
      <t>サダ</t>
    </rPh>
    <rPh sb="16" eb="18">
      <t>キジュン</t>
    </rPh>
    <rPh sb="18" eb="20">
      <t>メンセキ</t>
    </rPh>
    <phoneticPr fontId="1"/>
  </si>
  <si>
    <t>３．建築面積（㎡）</t>
    <rPh sb="2" eb="4">
      <t>ケンチク</t>
    </rPh>
    <rPh sb="4" eb="6">
      <t>メンセキ</t>
    </rPh>
    <phoneticPr fontId="1"/>
  </si>
  <si>
    <t>４．２と３を比較して低い方（㎡）</t>
    <rPh sb="6" eb="8">
      <t>ヒカク</t>
    </rPh>
    <rPh sb="10" eb="11">
      <t>ヒク</t>
    </rPh>
    <rPh sb="12" eb="13">
      <t>ホウ</t>
    </rPh>
    <phoneticPr fontId="1"/>
  </si>
  <si>
    <t>５．当該年度進捗率（％）</t>
    <rPh sb="2" eb="4">
      <t>トウガイ</t>
    </rPh>
    <rPh sb="4" eb="6">
      <t>ネンド</t>
    </rPh>
    <rPh sb="6" eb="9">
      <t>シンチョクリツ</t>
    </rPh>
    <phoneticPr fontId="1"/>
  </si>
  <si>
    <t>６．当該年度基準面積（４の合計×５）</t>
    <rPh sb="13" eb="15">
      <t>ゴウケイ</t>
    </rPh>
    <phoneticPr fontId="1"/>
  </si>
  <si>
    <t>７．別表3に定める1㎡あたり単価（円）</t>
    <rPh sb="17" eb="18">
      <t>エン</t>
    </rPh>
    <phoneticPr fontId="1"/>
  </si>
  <si>
    <t>８．建築単価（円）</t>
    <rPh sb="7" eb="8">
      <t>エン</t>
    </rPh>
    <phoneticPr fontId="1"/>
  </si>
  <si>
    <t>９．７と８を比較して低い方（円）</t>
    <rPh sb="6" eb="8">
      <t>ヒカク</t>
    </rPh>
    <rPh sb="10" eb="11">
      <t>ヒク</t>
    </rPh>
    <rPh sb="12" eb="13">
      <t>ホウ</t>
    </rPh>
    <rPh sb="14" eb="15">
      <t>エン</t>
    </rPh>
    <phoneticPr fontId="1"/>
  </si>
  <si>
    <t>10．電子カルテシステムの整備にかかる加算（円）</t>
    <rPh sb="3" eb="5">
      <t>デンシ</t>
    </rPh>
    <rPh sb="13" eb="15">
      <t>セイビ</t>
    </rPh>
    <rPh sb="19" eb="21">
      <t>カサン</t>
    </rPh>
    <rPh sb="22" eb="23">
      <t>エン</t>
    </rPh>
    <phoneticPr fontId="1"/>
  </si>
  <si>
    <t>結核病棟改修等整備事業</t>
    <rPh sb="0" eb="2">
      <t>ケッカク</t>
    </rPh>
    <rPh sb="2" eb="4">
      <t>ビョウトウ</t>
    </rPh>
    <rPh sb="4" eb="7">
      <t>カイシュウナド</t>
    </rPh>
    <rPh sb="7" eb="9">
      <t>セイビ</t>
    </rPh>
    <rPh sb="9" eb="11">
      <t>ジギョウ</t>
    </rPh>
    <phoneticPr fontId="1"/>
  </si>
  <si>
    <t>１．整備後の整備区域の病床数（床）</t>
    <rPh sb="2" eb="4">
      <t>セイビ</t>
    </rPh>
    <rPh sb="4" eb="5">
      <t>ゴ</t>
    </rPh>
    <rPh sb="6" eb="8">
      <t>セイビ</t>
    </rPh>
    <rPh sb="8" eb="10">
      <t>クイキ</t>
    </rPh>
    <rPh sb="11" eb="14">
      <t>ビョウショウスウ</t>
    </rPh>
    <rPh sb="15" eb="16">
      <t>ユカ</t>
    </rPh>
    <phoneticPr fontId="1"/>
  </si>
  <si>
    <t>　イ　陰圧化空調整備にかかる加算</t>
    <rPh sb="3" eb="4">
      <t>イン</t>
    </rPh>
    <rPh sb="4" eb="5">
      <t>アツ</t>
    </rPh>
    <rPh sb="5" eb="6">
      <t>カ</t>
    </rPh>
    <rPh sb="6" eb="8">
      <t>クウチョウ</t>
    </rPh>
    <rPh sb="8" eb="10">
      <t>セイビ</t>
    </rPh>
    <rPh sb="14" eb="16">
      <t>カサン</t>
    </rPh>
    <phoneticPr fontId="1"/>
  </si>
  <si>
    <t>陰圧化等空調整備を実施しない</t>
    <phoneticPr fontId="1"/>
  </si>
  <si>
    <t>６．別表2に定める1㎡あたり単価（円）</t>
    <rPh sb="17" eb="18">
      <t>エン</t>
    </rPh>
    <phoneticPr fontId="1"/>
  </si>
  <si>
    <t>４の合計</t>
    <rPh sb="2" eb="4">
      <t>ゴウケイ</t>
    </rPh>
    <phoneticPr fontId="1"/>
  </si>
  <si>
    <t>６．当該年度基準面積（４×５）</t>
    <phoneticPr fontId="1"/>
  </si>
  <si>
    <t>２の合計</t>
    <rPh sb="2" eb="4">
      <t>ゴウケイ</t>
    </rPh>
    <phoneticPr fontId="1"/>
  </si>
  <si>
    <t>※面積、進捗率及び建築単価等について基準額算定の過程で端数が生じた場合は、小数点以下</t>
    <rPh sb="1" eb="3">
      <t>メンセキ</t>
    </rPh>
    <rPh sb="4" eb="7">
      <t>シンチョクリツ</t>
    </rPh>
    <rPh sb="7" eb="8">
      <t>オヨ</t>
    </rPh>
    <rPh sb="9" eb="11">
      <t>ケンチク</t>
    </rPh>
    <rPh sb="11" eb="13">
      <t>タンカ</t>
    </rPh>
    <rPh sb="13" eb="14">
      <t>トウ</t>
    </rPh>
    <rPh sb="27" eb="29">
      <t>ハスウ</t>
    </rPh>
    <rPh sb="30" eb="31">
      <t>ショウ</t>
    </rPh>
    <rPh sb="33" eb="35">
      <t>バアイ</t>
    </rPh>
    <rPh sb="37" eb="40">
      <t>ショウスウテン</t>
    </rPh>
    <rPh sb="40" eb="42">
      <t>イカ</t>
    </rPh>
    <phoneticPr fontId="1"/>
  </si>
  <si>
    <t>　第2位までの扱いとする。（小数点以下第3位を四捨五入）</t>
    <phoneticPr fontId="1"/>
  </si>
  <si>
    <t>　イ　別表2第3欄に掲げる（ｱ）～（ｵ）の部門の整備</t>
    <rPh sb="3" eb="5">
      <t>ベッピョウ</t>
    </rPh>
    <rPh sb="6" eb="7">
      <t>ダイ</t>
    </rPh>
    <rPh sb="8" eb="9">
      <t>ラン</t>
    </rPh>
    <rPh sb="10" eb="11">
      <t>カカ</t>
    </rPh>
    <rPh sb="21" eb="23">
      <t>ブモン</t>
    </rPh>
    <rPh sb="24" eb="26">
      <t>セイビ</t>
    </rPh>
    <phoneticPr fontId="1"/>
  </si>
  <si>
    <t>無床</t>
    <rPh sb="0" eb="2">
      <t>ムショウ</t>
    </rPh>
    <phoneticPr fontId="1"/>
  </si>
  <si>
    <t>有床（5床以下）</t>
    <rPh sb="0" eb="2">
      <t>ユウショウ</t>
    </rPh>
    <rPh sb="4" eb="7">
      <t>ショウイカ</t>
    </rPh>
    <phoneticPr fontId="1"/>
  </si>
  <si>
    <t>２．整備後の療養病床の病床数</t>
    <rPh sb="2" eb="4">
      <t>セイビ</t>
    </rPh>
    <rPh sb="4" eb="5">
      <t>ゴ</t>
    </rPh>
    <rPh sb="6" eb="8">
      <t>リョウヨウ</t>
    </rPh>
    <rPh sb="8" eb="10">
      <t>ビョウショウ</t>
    </rPh>
    <rPh sb="11" eb="14">
      <t>ビョウショウスウ</t>
    </rPh>
    <phoneticPr fontId="1"/>
  </si>
  <si>
    <r>
      <t>診療所（</t>
    </r>
    <r>
      <rPr>
        <u/>
        <sz val="11"/>
        <color theme="1"/>
        <rFont val="ＭＳ ゴシック"/>
        <family val="3"/>
        <charset val="128"/>
      </rPr>
      <t>ア　継承に伴う診療所</t>
    </r>
    <r>
      <rPr>
        <sz val="11"/>
        <color theme="1"/>
        <rFont val="ＭＳ ゴシック"/>
        <family val="3"/>
        <charset val="128"/>
      </rPr>
      <t>）</t>
    </r>
    <rPh sb="0" eb="3">
      <t>シンリョウジョ</t>
    </rPh>
    <rPh sb="6" eb="8">
      <t>ケイショウ</t>
    </rPh>
    <rPh sb="9" eb="10">
      <t>トモナ</t>
    </rPh>
    <rPh sb="11" eb="14">
      <t>シンリョウジョ</t>
    </rPh>
    <phoneticPr fontId="1"/>
  </si>
  <si>
    <r>
      <t>診療所（</t>
    </r>
    <r>
      <rPr>
        <u/>
        <sz val="11"/>
        <color theme="1"/>
        <rFont val="ＭＳ ゴシック"/>
        <family val="3"/>
        <charset val="128"/>
      </rPr>
      <t>イ　改修等により療養病床を整備する診療所</t>
    </r>
    <r>
      <rPr>
        <sz val="11"/>
        <color theme="1"/>
        <rFont val="ＭＳ ゴシック"/>
        <family val="3"/>
        <charset val="128"/>
      </rPr>
      <t>）</t>
    </r>
    <rPh sb="0" eb="3">
      <t>シンリョウジョ</t>
    </rPh>
    <rPh sb="6" eb="8">
      <t>カイシュウ</t>
    </rPh>
    <rPh sb="8" eb="9">
      <t>トウ</t>
    </rPh>
    <rPh sb="12" eb="14">
      <t>リョウヨウ</t>
    </rPh>
    <rPh sb="14" eb="16">
      <t>ビョウショウ</t>
    </rPh>
    <rPh sb="17" eb="19">
      <t>セイビ</t>
    </rPh>
    <rPh sb="21" eb="24">
      <t>シンリョウジョ</t>
    </rPh>
    <phoneticPr fontId="1"/>
  </si>
  <si>
    <t>　ア　機能訓練室</t>
    <rPh sb="3" eb="5">
      <t>キノウ</t>
    </rPh>
    <rPh sb="5" eb="7">
      <t>クンレン</t>
    </rPh>
    <rPh sb="7" eb="8">
      <t>シツ</t>
    </rPh>
    <phoneticPr fontId="1"/>
  </si>
  <si>
    <t>　イ　患者食堂</t>
    <rPh sb="3" eb="5">
      <t>カンジャ</t>
    </rPh>
    <rPh sb="5" eb="7">
      <t>ショクドウ</t>
    </rPh>
    <phoneticPr fontId="1"/>
  </si>
  <si>
    <t>療養病床数（床）</t>
    <rPh sb="0" eb="2">
      <t>リョウヨウ</t>
    </rPh>
    <rPh sb="2" eb="5">
      <t>ビョウショウスウ</t>
    </rPh>
    <rPh sb="6" eb="7">
      <t>ユカ</t>
    </rPh>
    <phoneticPr fontId="1"/>
  </si>
  <si>
    <t>施設数（施設）</t>
    <rPh sb="0" eb="3">
      <t>シセツスウ</t>
    </rPh>
    <rPh sb="4" eb="6">
      <t>シセツ</t>
    </rPh>
    <phoneticPr fontId="1"/>
  </si>
  <si>
    <t>　ア　機能訓練室等</t>
    <rPh sb="3" eb="5">
      <t>キノウ</t>
    </rPh>
    <rPh sb="5" eb="7">
      <t>クンレン</t>
    </rPh>
    <rPh sb="7" eb="8">
      <t>シツ</t>
    </rPh>
    <rPh sb="8" eb="9">
      <t>トウ</t>
    </rPh>
    <phoneticPr fontId="1"/>
  </si>
  <si>
    <t>　イ　患者食堂等</t>
    <rPh sb="3" eb="5">
      <t>カンジャ</t>
    </rPh>
    <rPh sb="5" eb="7">
      <t>ショクドウ</t>
    </rPh>
    <rPh sb="7" eb="8">
      <t>トウ</t>
    </rPh>
    <phoneticPr fontId="1"/>
  </si>
  <si>
    <t>浴室数（箇所）</t>
    <rPh sb="0" eb="2">
      <t>ヨクシツ</t>
    </rPh>
    <rPh sb="2" eb="3">
      <t>スウ</t>
    </rPh>
    <rPh sb="4" eb="6">
      <t>カショ</t>
    </rPh>
    <phoneticPr fontId="1"/>
  </si>
  <si>
    <t>11．当該年度基準額（６×９＋１０）</t>
    <phoneticPr fontId="1"/>
  </si>
  <si>
    <t>機能訓練室</t>
    <rPh sb="0" eb="2">
      <t>キノウ</t>
    </rPh>
    <rPh sb="2" eb="4">
      <t>クンレン</t>
    </rPh>
    <rPh sb="4" eb="5">
      <t>シツ</t>
    </rPh>
    <phoneticPr fontId="1"/>
  </si>
  <si>
    <t>患者食堂</t>
    <rPh sb="0" eb="2">
      <t>カンジャ</t>
    </rPh>
    <rPh sb="2" eb="4">
      <t>ショクドウ</t>
    </rPh>
    <phoneticPr fontId="1"/>
  </si>
  <si>
    <t>浴室</t>
    <rPh sb="0" eb="2">
      <t>ヨクシツ</t>
    </rPh>
    <phoneticPr fontId="1"/>
  </si>
  <si>
    <r>
      <t>介護老人保健施設及び診療所（</t>
    </r>
    <r>
      <rPr>
        <u/>
        <sz val="11"/>
        <color theme="1"/>
        <rFont val="ＭＳ ゴシック"/>
        <family val="3"/>
        <charset val="128"/>
      </rPr>
      <t>ア　介護老人保健施設</t>
    </r>
    <r>
      <rPr>
        <sz val="11"/>
        <color theme="1"/>
        <rFont val="ＭＳ ゴシック"/>
        <family val="3"/>
        <charset val="128"/>
      </rPr>
      <t>）</t>
    </r>
    <rPh sb="0" eb="2">
      <t>カイゴ</t>
    </rPh>
    <rPh sb="2" eb="4">
      <t>ロウジン</t>
    </rPh>
    <rPh sb="4" eb="6">
      <t>ホケン</t>
    </rPh>
    <rPh sb="6" eb="8">
      <t>シセツ</t>
    </rPh>
    <rPh sb="8" eb="9">
      <t>オヨ</t>
    </rPh>
    <rPh sb="10" eb="13">
      <t>シンリョウジョ</t>
    </rPh>
    <rPh sb="16" eb="18">
      <t>カイゴ</t>
    </rPh>
    <rPh sb="18" eb="20">
      <t>ロウジン</t>
    </rPh>
    <rPh sb="20" eb="22">
      <t>ホケン</t>
    </rPh>
    <rPh sb="22" eb="24">
      <t>シセツ</t>
    </rPh>
    <phoneticPr fontId="1"/>
  </si>
  <si>
    <t>１．入所定員数（人）</t>
    <phoneticPr fontId="1"/>
  </si>
  <si>
    <t>　Ａ．整備する介護老人保健施設の入所定員数（人）</t>
    <rPh sb="3" eb="5">
      <t>セイビ</t>
    </rPh>
    <rPh sb="7" eb="9">
      <t>カイゴ</t>
    </rPh>
    <rPh sb="9" eb="11">
      <t>ロウジン</t>
    </rPh>
    <rPh sb="11" eb="13">
      <t>ホケン</t>
    </rPh>
    <rPh sb="13" eb="15">
      <t>シセツ</t>
    </rPh>
    <rPh sb="16" eb="18">
      <t>ニュウショ</t>
    </rPh>
    <rPh sb="18" eb="20">
      <t>テイイン</t>
    </rPh>
    <rPh sb="20" eb="21">
      <t>カズ</t>
    </rPh>
    <rPh sb="22" eb="23">
      <t>ヒト</t>
    </rPh>
    <phoneticPr fontId="1"/>
  </si>
  <si>
    <t>　Ｂ．削減した病院又は有償診療所の病床数</t>
    <rPh sb="3" eb="5">
      <t>サクゲン</t>
    </rPh>
    <rPh sb="7" eb="9">
      <t>ビョウイン</t>
    </rPh>
    <rPh sb="9" eb="10">
      <t>マタ</t>
    </rPh>
    <rPh sb="11" eb="13">
      <t>ユウショウ</t>
    </rPh>
    <rPh sb="13" eb="16">
      <t>シンリョウジョ</t>
    </rPh>
    <rPh sb="17" eb="20">
      <t>ビョウショウスウ</t>
    </rPh>
    <phoneticPr fontId="1"/>
  </si>
  <si>
    <t>　ＡとＢを比較して低い方　※基準額の算出に使用</t>
    <rPh sb="5" eb="7">
      <t>ヒカク</t>
    </rPh>
    <rPh sb="9" eb="10">
      <t>ヒク</t>
    </rPh>
    <rPh sb="11" eb="12">
      <t>ホウ</t>
    </rPh>
    <rPh sb="16" eb="17">
      <t>ガク</t>
    </rPh>
    <phoneticPr fontId="1"/>
  </si>
  <si>
    <t>２．交付要綱別表2第2欄に定める基準単価（円）</t>
    <rPh sb="2" eb="4">
      <t>コウフ</t>
    </rPh>
    <rPh sb="4" eb="6">
      <t>ヨウコウ</t>
    </rPh>
    <rPh sb="6" eb="8">
      <t>ベッピョウ</t>
    </rPh>
    <rPh sb="9" eb="10">
      <t>ダイ</t>
    </rPh>
    <rPh sb="11" eb="12">
      <t>ラン</t>
    </rPh>
    <rPh sb="13" eb="14">
      <t>サダ</t>
    </rPh>
    <rPh sb="16" eb="18">
      <t>キジュン</t>
    </rPh>
    <rPh sb="18" eb="20">
      <t>タンカ</t>
    </rPh>
    <rPh sb="21" eb="22">
      <t>エン</t>
    </rPh>
    <phoneticPr fontId="1"/>
  </si>
  <si>
    <t>新築</t>
    <rPh sb="0" eb="2">
      <t>シンチク</t>
    </rPh>
    <phoneticPr fontId="1"/>
  </si>
  <si>
    <t>改築</t>
    <rPh sb="0" eb="2">
      <t>カイチク</t>
    </rPh>
    <phoneticPr fontId="1"/>
  </si>
  <si>
    <t>改修</t>
    <rPh sb="0" eb="2">
      <t>カイシュウ</t>
    </rPh>
    <phoneticPr fontId="1"/>
  </si>
  <si>
    <r>
      <t>介護老人保健施設及び診療所（</t>
    </r>
    <r>
      <rPr>
        <u/>
        <sz val="11"/>
        <color theme="1"/>
        <rFont val="ＭＳ ゴシック"/>
        <family val="3"/>
        <charset val="128"/>
      </rPr>
      <t>イ　病院又は有床診療所を廃止し、介護老人保健</t>
    </r>
    <r>
      <rPr>
        <sz val="11"/>
        <color theme="1"/>
        <rFont val="ＭＳ ゴシック"/>
        <family val="3"/>
        <charset val="128"/>
      </rPr>
      <t xml:space="preserve">
　　　　　　　　　　　　　　　　</t>
    </r>
    <r>
      <rPr>
        <u/>
        <sz val="11"/>
        <color theme="1"/>
        <rFont val="ＭＳ ゴシック"/>
        <family val="3"/>
        <charset val="128"/>
      </rPr>
      <t>施設に併設する診療所を整備する場合</t>
    </r>
    <r>
      <rPr>
        <sz val="11"/>
        <color theme="1"/>
        <rFont val="ＭＳ ゴシック"/>
        <family val="3"/>
        <charset val="128"/>
      </rPr>
      <t>）</t>
    </r>
    <rPh sb="0" eb="2">
      <t>カイゴ</t>
    </rPh>
    <rPh sb="2" eb="4">
      <t>ロウジン</t>
    </rPh>
    <rPh sb="4" eb="6">
      <t>ホケン</t>
    </rPh>
    <rPh sb="6" eb="8">
      <t>シセツ</t>
    </rPh>
    <rPh sb="8" eb="9">
      <t>オヨ</t>
    </rPh>
    <rPh sb="10" eb="13">
      <t>シンリョウジョ</t>
    </rPh>
    <phoneticPr fontId="1"/>
  </si>
  <si>
    <t>７．補強単価（円）</t>
    <rPh sb="2" eb="4">
      <t>ホキョウ</t>
    </rPh>
    <rPh sb="7" eb="8">
      <t>エン</t>
    </rPh>
    <phoneticPr fontId="1"/>
  </si>
  <si>
    <t>事業番号</t>
    <rPh sb="0" eb="2">
      <t>ジギョウ</t>
    </rPh>
    <rPh sb="2" eb="4">
      <t>バンゴウ</t>
    </rPh>
    <phoneticPr fontId="1"/>
  </si>
  <si>
    <t>基準面積</t>
    <rPh sb="0" eb="2">
      <t>キジュン</t>
    </rPh>
    <rPh sb="2" eb="4">
      <t>メンセキ</t>
    </rPh>
    <phoneticPr fontId="1"/>
  </si>
  <si>
    <t>面積</t>
    <rPh sb="0" eb="2">
      <t>メンセキ</t>
    </rPh>
    <phoneticPr fontId="1"/>
  </si>
  <si>
    <t>面積／床</t>
    <rPh sb="0" eb="2">
      <t>メンセキ</t>
    </rPh>
    <rPh sb="3" eb="4">
      <t>ユカ</t>
    </rPh>
    <phoneticPr fontId="1"/>
  </si>
  <si>
    <t>CCU・SCU加算（床）</t>
    <rPh sb="7" eb="9">
      <t>カサン</t>
    </rPh>
    <rPh sb="10" eb="11">
      <t>ユカ</t>
    </rPh>
    <phoneticPr fontId="1"/>
  </si>
  <si>
    <t>基準単価</t>
    <rPh sb="0" eb="2">
      <t>キジュン</t>
    </rPh>
    <rPh sb="2" eb="4">
      <t>タンカ</t>
    </rPh>
    <phoneticPr fontId="1"/>
  </si>
  <si>
    <t>脳卒中専用病室(ＳＣＵ)
心臓病専用病室（ＣＣＵ）
重症外傷専用病室
（重症外傷用集中治療室）</t>
    <phoneticPr fontId="1"/>
  </si>
  <si>
    <t>小児救急専門病床
（小児専門集中治療室）</t>
    <phoneticPr fontId="1"/>
  </si>
  <si>
    <t>加算</t>
    <rPh sb="0" eb="2">
      <t>カサン</t>
    </rPh>
    <phoneticPr fontId="1"/>
  </si>
  <si>
    <t>減算</t>
    <rPh sb="0" eb="2">
      <t>ゲンサン</t>
    </rPh>
    <phoneticPr fontId="1"/>
  </si>
  <si>
    <t>病床数</t>
    <rPh sb="0" eb="3">
      <t>ビョウショウスウ</t>
    </rPh>
    <phoneticPr fontId="1"/>
  </si>
  <si>
    <t>病院</t>
  </si>
  <si>
    <t>（１）特殊診療等</t>
    <rPh sb="3" eb="5">
      <t>トクシュ</t>
    </rPh>
    <rPh sb="5" eb="7">
      <t>シンリョウ</t>
    </rPh>
    <rPh sb="7" eb="8">
      <t>トウ</t>
    </rPh>
    <phoneticPr fontId="1"/>
  </si>
  <si>
    <t>（２）開放型病棟</t>
    <rPh sb="3" eb="6">
      <t>カイホウガタ</t>
    </rPh>
    <rPh sb="6" eb="8">
      <t>ビョウトウ</t>
    </rPh>
    <phoneticPr fontId="1"/>
  </si>
  <si>
    <t>事業区分</t>
  </si>
  <si>
    <t>種目等</t>
  </si>
  <si>
    <t>構造別</t>
  </si>
  <si>
    <t>単価</t>
  </si>
  <si>
    <t>(1) 休日夜間急患センター施設整備事業</t>
  </si>
  <si>
    <t>鉄筋コンクリート</t>
  </si>
  <si>
    <t>(7) 小児初期救急センター施設整備事業</t>
  </si>
  <si>
    <t>ブロック</t>
  </si>
  <si>
    <t>木造</t>
  </si>
  <si>
    <t>(5) 救命救急センター施設整備事業</t>
  </si>
  <si>
    <t>(6) 小児救急医療拠点病院施設整備事業</t>
  </si>
  <si>
    <t>(8) 小児集中治療室施設整備事業</t>
  </si>
  <si>
    <t>(9) 小児医療施設施設整備事業</t>
  </si>
  <si>
    <t>病棟</t>
  </si>
  <si>
    <t>(11)地域療育支援施設施設整備事業</t>
  </si>
  <si>
    <t>(12)共同利用施設施設整備事業</t>
  </si>
  <si>
    <t>診療棟</t>
  </si>
  <si>
    <t>(10) 周産期医療施設施設整備事業</t>
  </si>
  <si>
    <t>(13)医療施設近代化施設整備事業</t>
  </si>
  <si>
    <t>診療所</t>
  </si>
  <si>
    <t>治験専門外来</t>
  </si>
  <si>
    <t>治験管理部門</t>
  </si>
  <si>
    <t>別表３</t>
    <rPh sb="0" eb="2">
      <t>ベッピョウ</t>
    </rPh>
    <phoneticPr fontId="1"/>
  </si>
  <si>
    <t>（一般地区）</t>
    <phoneticPr fontId="1"/>
  </si>
  <si>
    <t>構造【選択】</t>
    <rPh sb="0" eb="2">
      <t>コウゾウ</t>
    </rPh>
    <rPh sb="3" eb="5">
      <t>センタク</t>
    </rPh>
    <phoneticPr fontId="1"/>
  </si>
  <si>
    <t>（離島、豪雪地区）</t>
    <phoneticPr fontId="1"/>
  </si>
  <si>
    <t>ＳＣＵ／小児救急専門病床／ＣＣＵ／重傷外傷用集中治療室のみ整備については省略</t>
    <rPh sb="4" eb="6">
      <t>ショウニ</t>
    </rPh>
    <rPh sb="6" eb="8">
      <t>キュウキュウ</t>
    </rPh>
    <rPh sb="8" eb="10">
      <t>センモン</t>
    </rPh>
    <rPh sb="10" eb="12">
      <t>ビョウショウ</t>
    </rPh>
    <rPh sb="17" eb="19">
      <t>ジュウショウ</t>
    </rPh>
    <rPh sb="19" eb="22">
      <t>ガイショウヨウ</t>
    </rPh>
    <rPh sb="22" eb="24">
      <t>シュウチュウ</t>
    </rPh>
    <rPh sb="24" eb="27">
      <t>チリョウシツ</t>
    </rPh>
    <rPh sb="29" eb="31">
      <t>セイビ</t>
    </rPh>
    <rPh sb="36" eb="38">
      <t>ショウリャク</t>
    </rPh>
    <phoneticPr fontId="1"/>
  </si>
  <si>
    <t>ＳＣＵ／ＣＣＵのみの整備については省略</t>
    <rPh sb="10" eb="12">
      <t>セイビ</t>
    </rPh>
    <rPh sb="17" eb="19">
      <t>ショウリャク</t>
    </rPh>
    <phoneticPr fontId="1"/>
  </si>
  <si>
    <t>転用の場合の整備については省略</t>
    <rPh sb="0" eb="2">
      <t>テンヨウ</t>
    </rPh>
    <rPh sb="3" eb="5">
      <t>バアイ</t>
    </rPh>
    <rPh sb="6" eb="8">
      <t>セイビ</t>
    </rPh>
    <rPh sb="13" eb="15">
      <t>ショウリャク</t>
    </rPh>
    <phoneticPr fontId="1"/>
  </si>
  <si>
    <t>リスト表示</t>
    <rPh sb="3" eb="5">
      <t>ヒョウジ</t>
    </rPh>
    <phoneticPr fontId="1"/>
  </si>
  <si>
    <t>（病棟）鉄筋コンクリート</t>
  </si>
  <si>
    <t>（病棟）ブロック</t>
  </si>
  <si>
    <t>（診療棟）鉄筋コンクリート</t>
  </si>
  <si>
    <t>（診療棟）ブロック</t>
  </si>
  <si>
    <t>（一般地区）鉄筋コンクリート</t>
  </si>
  <si>
    <t>（一般地区）ブロック</t>
  </si>
  <si>
    <t>（一般地区）木造</t>
  </si>
  <si>
    <t>（離島、豪雪地区）鉄筋コンクリート</t>
  </si>
  <si>
    <t>（離島、豪雪地区）ブロック</t>
  </si>
  <si>
    <t>（離島、豪雪地区）木造</t>
  </si>
  <si>
    <t>―――【病院は以下より選択】―――</t>
    <phoneticPr fontId="1"/>
  </si>
  <si>
    <t>―――【診療所は以下より選択】―――</t>
    <rPh sb="4" eb="7">
      <t>シンリョウジョ</t>
    </rPh>
    <phoneticPr fontId="1"/>
  </si>
  <si>
    <t>（1）</t>
    <phoneticPr fontId="1"/>
  </si>
  <si>
    <t>（2）</t>
    <phoneticPr fontId="1"/>
  </si>
  <si>
    <t>（3）</t>
    <phoneticPr fontId="1"/>
  </si>
  <si>
    <t>（4）</t>
    <phoneticPr fontId="1"/>
  </si>
  <si>
    <t>（5）-1</t>
    <phoneticPr fontId="1"/>
  </si>
  <si>
    <t>（5）-2</t>
    <phoneticPr fontId="1"/>
  </si>
  <si>
    <t>（5）-3</t>
    <phoneticPr fontId="1"/>
  </si>
  <si>
    <t>（6）</t>
    <phoneticPr fontId="1"/>
  </si>
  <si>
    <t>（7）</t>
    <phoneticPr fontId="1"/>
  </si>
  <si>
    <t>（8）</t>
    <phoneticPr fontId="1"/>
  </si>
  <si>
    <t>（9）</t>
    <phoneticPr fontId="1"/>
  </si>
  <si>
    <t>（10）</t>
    <phoneticPr fontId="1"/>
  </si>
  <si>
    <t>（11）</t>
    <phoneticPr fontId="1"/>
  </si>
  <si>
    <t>（12）-1</t>
    <phoneticPr fontId="1"/>
  </si>
  <si>
    <t>（12）-2</t>
    <phoneticPr fontId="1"/>
  </si>
  <si>
    <t>（13）-1</t>
    <phoneticPr fontId="1"/>
  </si>
  <si>
    <t>（13）-2</t>
    <phoneticPr fontId="1"/>
  </si>
  <si>
    <t>（13）-3</t>
    <phoneticPr fontId="1"/>
  </si>
  <si>
    <t>（13）-4</t>
    <phoneticPr fontId="1"/>
  </si>
  <si>
    <t>（13）-5</t>
    <phoneticPr fontId="1"/>
  </si>
  <si>
    <t>病床数</t>
    <rPh sb="0" eb="3">
      <t>ビョウショウスウ</t>
    </rPh>
    <phoneticPr fontId="1"/>
  </si>
  <si>
    <t>10．浴室の整備にかかる基準額</t>
    <rPh sb="3" eb="5">
      <t>ヨクシツ</t>
    </rPh>
    <rPh sb="6" eb="8">
      <t>セイビ</t>
    </rPh>
    <rPh sb="12" eb="14">
      <t>キジュン</t>
    </rPh>
    <rPh sb="14" eb="15">
      <t>ガク</t>
    </rPh>
    <phoneticPr fontId="1"/>
  </si>
  <si>
    <t>２の合計</t>
    <rPh sb="2" eb="4">
      <t>ゴウケイ</t>
    </rPh>
    <phoneticPr fontId="1"/>
  </si>
  <si>
    <t>　Ｂ．病棟</t>
    <rPh sb="3" eb="5">
      <t>ビョウトウ</t>
    </rPh>
    <phoneticPr fontId="1"/>
  </si>
  <si>
    <t>３．１と２の合計を比較して低い方（㎡）</t>
    <rPh sb="6" eb="8">
      <t>ゴウケイ</t>
    </rPh>
    <rPh sb="9" eb="11">
      <t>ヒカク</t>
    </rPh>
    <rPh sb="13" eb="14">
      <t>ヒク</t>
    </rPh>
    <rPh sb="15" eb="16">
      <t>ホウ</t>
    </rPh>
    <phoneticPr fontId="1"/>
  </si>
  <si>
    <t>８．６と７をそれぞれ比較して低い方（円）</t>
    <rPh sb="10" eb="12">
      <t>ヒカク</t>
    </rPh>
    <rPh sb="14" eb="15">
      <t>ヒク</t>
    </rPh>
    <rPh sb="16" eb="17">
      <t>ホウ</t>
    </rPh>
    <rPh sb="18" eb="19">
      <t>エン</t>
    </rPh>
    <phoneticPr fontId="1"/>
  </si>
  <si>
    <t>５の合計（Ａ①）</t>
    <rPh sb="2" eb="4">
      <t>ゴウケイ</t>
    </rPh>
    <phoneticPr fontId="1"/>
  </si>
  <si>
    <t>※部門ごとの内訳は、建築面積に当該年度進捗率を乗じた数を限度とする。</t>
    <rPh sb="1" eb="3">
      <t>ブモン</t>
    </rPh>
    <rPh sb="6" eb="8">
      <t>ウチワケ</t>
    </rPh>
    <rPh sb="10" eb="12">
      <t>ケンチク</t>
    </rPh>
    <rPh sb="12" eb="14">
      <t>メンセキ</t>
    </rPh>
    <rPh sb="15" eb="17">
      <t>トウガイ</t>
    </rPh>
    <rPh sb="17" eb="19">
      <t>ネンド</t>
    </rPh>
    <rPh sb="19" eb="21">
      <t>シンチョク</t>
    </rPh>
    <rPh sb="21" eb="22">
      <t>リツ</t>
    </rPh>
    <rPh sb="23" eb="24">
      <t>ジョウ</t>
    </rPh>
    <rPh sb="26" eb="27">
      <t>カズ</t>
    </rPh>
    <rPh sb="28" eb="30">
      <t>ゲンド</t>
    </rPh>
    <phoneticPr fontId="1"/>
  </si>
  <si>
    <t>９の合計（Ａ③）</t>
    <rPh sb="2" eb="4">
      <t>ゴウケイ</t>
    </rPh>
    <phoneticPr fontId="1"/>
  </si>
  <si>
    <t>診療棟と病棟と同時に対象とする整備については省略</t>
    <rPh sb="0" eb="2">
      <t>シンリョウ</t>
    </rPh>
    <rPh sb="2" eb="3">
      <t>トウ</t>
    </rPh>
    <rPh sb="4" eb="6">
      <t>ビョウトウ</t>
    </rPh>
    <rPh sb="7" eb="9">
      <t>ドウジ</t>
    </rPh>
    <rPh sb="10" eb="12">
      <t>タイショウ</t>
    </rPh>
    <rPh sb="15" eb="17">
      <t>セイビ</t>
    </rPh>
    <rPh sb="22" eb="24">
      <t>ショウリャク</t>
    </rPh>
    <phoneticPr fontId="1"/>
  </si>
  <si>
    <t>備蓄倉庫</t>
    <rPh sb="0" eb="2">
      <t>ビチク</t>
    </rPh>
    <rPh sb="2" eb="4">
      <t>ソウコ</t>
    </rPh>
    <phoneticPr fontId="1"/>
  </si>
  <si>
    <t>受水槽</t>
    <rPh sb="0" eb="3">
      <t>ジュスイソウ</t>
    </rPh>
    <phoneticPr fontId="1"/>
  </si>
  <si>
    <t>研修部門</t>
    <rPh sb="0" eb="2">
      <t>ケンシュウ</t>
    </rPh>
    <rPh sb="2" eb="4">
      <t>ブモン</t>
    </rPh>
    <phoneticPr fontId="1"/>
  </si>
  <si>
    <t>対象外</t>
    <rPh sb="0" eb="3">
      <t>タイショウガイ</t>
    </rPh>
    <phoneticPr fontId="1"/>
  </si>
  <si>
    <t>事業名</t>
    <phoneticPr fontId="1"/>
  </si>
  <si>
    <t>事業名</t>
    <phoneticPr fontId="1"/>
  </si>
  <si>
    <t>基準額</t>
    <rPh sb="0" eb="3">
      <t>キジュンガク</t>
    </rPh>
    <phoneticPr fontId="1"/>
  </si>
  <si>
    <t>２．整備箇所数（室）</t>
    <rPh sb="2" eb="4">
      <t>セイビ</t>
    </rPh>
    <rPh sb="4" eb="6">
      <t>カショ</t>
    </rPh>
    <rPh sb="6" eb="7">
      <t>スウ</t>
    </rPh>
    <rPh sb="8" eb="9">
      <t>シツ</t>
    </rPh>
    <phoneticPr fontId="1"/>
  </si>
  <si>
    <t>　Ａ．診療棟</t>
    <rPh sb="3" eb="5">
      <t>シンリョウ</t>
    </rPh>
    <rPh sb="5" eb="6">
      <t>トウ</t>
    </rPh>
    <phoneticPr fontId="1"/>
  </si>
  <si>
    <t>　Ａ．治験専門外来</t>
    <rPh sb="3" eb="5">
      <t>チケン</t>
    </rPh>
    <rPh sb="5" eb="7">
      <t>センモン</t>
    </rPh>
    <rPh sb="7" eb="9">
      <t>ガイライ</t>
    </rPh>
    <phoneticPr fontId="1"/>
  </si>
  <si>
    <t>３．１と２をそれぞれ比較して低い方（㎡）</t>
    <rPh sb="10" eb="12">
      <t>ヒカク</t>
    </rPh>
    <rPh sb="14" eb="15">
      <t>ヒク</t>
    </rPh>
    <rPh sb="16" eb="17">
      <t>ホウ</t>
    </rPh>
    <phoneticPr fontId="1"/>
  </si>
  <si>
    <t>　Ｂ．治験管理部門</t>
    <rPh sb="3" eb="5">
      <t>チケン</t>
    </rPh>
    <rPh sb="5" eb="7">
      <t>カンリ</t>
    </rPh>
    <rPh sb="7" eb="9">
      <t>ブモン</t>
    </rPh>
    <phoneticPr fontId="1"/>
  </si>
  <si>
    <t>面積</t>
    <rPh sb="0" eb="2">
      <t>メンセキ</t>
    </rPh>
    <phoneticPr fontId="1"/>
  </si>
  <si>
    <t>９．当該年度基準額（５×８）</t>
    <phoneticPr fontId="1"/>
  </si>
  <si>
    <t>事業名</t>
  </si>
  <si>
    <t>特定地域病院施設整備事業</t>
    <phoneticPr fontId="1"/>
  </si>
  <si>
    <t>基準単価</t>
    <rPh sb="0" eb="2">
      <t>キジュン</t>
    </rPh>
    <rPh sb="2" eb="4">
      <t>タンカ</t>
    </rPh>
    <phoneticPr fontId="1"/>
  </si>
  <si>
    <t>病院群輪番制病院及び
共同利用型病院施設整備事業</t>
    <phoneticPr fontId="1"/>
  </si>
  <si>
    <t>補強が必要と認められるもの</t>
    <phoneticPr fontId="1"/>
  </si>
  <si>
    <t>基準額</t>
    <rPh sb="0" eb="3">
      <t>キジュンガク</t>
    </rPh>
    <phoneticPr fontId="1"/>
  </si>
  <si>
    <t>補強又は防護壁の設置等が必要と認められるもの</t>
    <rPh sb="15" eb="16">
      <t>ミト</t>
    </rPh>
    <phoneticPr fontId="1"/>
  </si>
  <si>
    <t>Is値が0.4 未満の建物を有する病院</t>
    <rPh sb="2" eb="3">
      <t>アタイ</t>
    </rPh>
    <rPh sb="8" eb="10">
      <t>ミマン</t>
    </rPh>
    <rPh sb="11" eb="13">
      <t>タテモノ</t>
    </rPh>
    <rPh sb="14" eb="15">
      <t>ユウ</t>
    </rPh>
    <rPh sb="17" eb="19">
      <t>ビョウイン</t>
    </rPh>
    <phoneticPr fontId="1"/>
  </si>
  <si>
    <t>医療施設耐震整備事業</t>
    <phoneticPr fontId="1"/>
  </si>
  <si>
    <t>補強が必要と認められるもの（Is値が0.6未満の建物を有する病院）</t>
    <rPh sb="24" eb="26">
      <t>タテモノ</t>
    </rPh>
    <rPh sb="27" eb="28">
      <t>ユウ</t>
    </rPh>
    <rPh sb="30" eb="32">
      <t>ビョウイン</t>
    </rPh>
    <phoneticPr fontId="1"/>
  </si>
  <si>
    <t>補強が必要と認められるもの（Is値0.6未満の建物を有する看護師等養成所）</t>
    <rPh sb="23" eb="25">
      <t>タテモノ</t>
    </rPh>
    <rPh sb="26" eb="27">
      <t>ユウ</t>
    </rPh>
    <phoneticPr fontId="1"/>
  </si>
  <si>
    <t>Is値が0.4 未満の建物を有する第二次救急医療施設等</t>
    <phoneticPr fontId="1"/>
  </si>
  <si>
    <t>Is値が0.3 未満の建物を有する病院（第二次救急医療施設等は除く）</t>
    <phoneticPr fontId="1"/>
  </si>
  <si>
    <t>Is値が0.3 未満の建物を有する看護師等養成所</t>
    <phoneticPr fontId="1"/>
  </si>
  <si>
    <t>救命救急センター</t>
  </si>
  <si>
    <t>病院群輪番制病院及び共同利用型病院</t>
  </si>
  <si>
    <t>在宅当番医制診療所</t>
  </si>
  <si>
    <t>在宅当番医制歯科診療所</t>
  </si>
  <si>
    <t>休日夜間急患センター</t>
  </si>
  <si>
    <t>休日等歯科診療所</t>
  </si>
  <si>
    <t>時間外診療実施診療所</t>
  </si>
  <si>
    <t>基幹災害拠点病院</t>
  </si>
  <si>
    <t>地域災害拠点病院</t>
  </si>
  <si>
    <t>周産期母子医療センター</t>
  </si>
  <si>
    <t>小児救急医療拠点病院</t>
  </si>
  <si>
    <t>在宅医療実施病院</t>
  </si>
  <si>
    <t>在宅医療実施診療所</t>
  </si>
  <si>
    <t>在宅医療実施歯科診療所</t>
  </si>
  <si>
    <t>精神科病院</t>
  </si>
  <si>
    <t>精神科救急医療センター</t>
  </si>
  <si>
    <t>南海トラフ地震に係る津波避難対策緊急事業</t>
    <phoneticPr fontId="1"/>
  </si>
  <si>
    <t>アスベスト除去等整備事業</t>
    <phoneticPr fontId="1"/>
  </si>
  <si>
    <t>２．アスベスト等の除去等を行う壁等の延面積（㎡）</t>
    <rPh sb="7" eb="8">
      <t>トウ</t>
    </rPh>
    <rPh sb="9" eb="11">
      <t>ジョキョ</t>
    </rPh>
    <rPh sb="11" eb="12">
      <t>トウ</t>
    </rPh>
    <rPh sb="13" eb="14">
      <t>オコナ</t>
    </rPh>
    <rPh sb="15" eb="16">
      <t>カベ</t>
    </rPh>
    <rPh sb="16" eb="17">
      <t>トウ</t>
    </rPh>
    <rPh sb="18" eb="19">
      <t>エン</t>
    </rPh>
    <rPh sb="19" eb="21">
      <t>メンセキ</t>
    </rPh>
    <phoneticPr fontId="1"/>
  </si>
  <si>
    <t>※面積、進捗率及び補強単価等について基準額算定の過程で端数が生じた場合は、小数点以下</t>
    <rPh sb="1" eb="3">
      <t>メンセキ</t>
    </rPh>
    <rPh sb="4" eb="7">
      <t>シンチョクリツ</t>
    </rPh>
    <rPh sb="7" eb="8">
      <t>オヨ</t>
    </rPh>
    <rPh sb="9" eb="11">
      <t>ホキョウ</t>
    </rPh>
    <rPh sb="11" eb="13">
      <t>タンカ</t>
    </rPh>
    <rPh sb="13" eb="14">
      <t>トウ</t>
    </rPh>
    <rPh sb="27" eb="29">
      <t>ハスウ</t>
    </rPh>
    <rPh sb="30" eb="31">
      <t>ショウ</t>
    </rPh>
    <rPh sb="33" eb="35">
      <t>バアイ</t>
    </rPh>
    <rPh sb="37" eb="40">
      <t>ショウスウテン</t>
    </rPh>
    <rPh sb="40" eb="42">
      <t>イカ</t>
    </rPh>
    <phoneticPr fontId="1"/>
  </si>
  <si>
    <t>※面積、進捗率等について基準額算定の過程で端数が生じた場合は、小数点以下第2位までの</t>
    <rPh sb="1" eb="3">
      <t>メンセキ</t>
    </rPh>
    <rPh sb="4" eb="7">
      <t>シンチョクリツ</t>
    </rPh>
    <rPh sb="7" eb="8">
      <t>トウ</t>
    </rPh>
    <rPh sb="21" eb="23">
      <t>ハスウ</t>
    </rPh>
    <rPh sb="24" eb="25">
      <t>ショウ</t>
    </rPh>
    <rPh sb="27" eb="29">
      <t>バアイ</t>
    </rPh>
    <rPh sb="31" eb="34">
      <t>ショウスウテン</t>
    </rPh>
    <rPh sb="34" eb="36">
      <t>イカ</t>
    </rPh>
    <phoneticPr fontId="1"/>
  </si>
  <si>
    <t>　扱いとする。（小数点以下第3位を四捨五入）</t>
    <phoneticPr fontId="1"/>
  </si>
  <si>
    <t>医療機器管理室施設整備事業</t>
    <phoneticPr fontId="1"/>
  </si>
  <si>
    <t>基準面積</t>
    <rPh sb="0" eb="2">
      <t>キジュン</t>
    </rPh>
    <rPh sb="2" eb="4">
      <t>メンセキ</t>
    </rPh>
    <phoneticPr fontId="1"/>
  </si>
  <si>
    <t>地球温暖化対策施設整備事業</t>
    <phoneticPr fontId="1"/>
  </si>
  <si>
    <t>補強又は防護壁の設置等が必要と認められるもの</t>
    <rPh sb="0" eb="2">
      <t>ホキョウ</t>
    </rPh>
    <rPh sb="2" eb="3">
      <t>マタ</t>
    </rPh>
    <rPh sb="4" eb="7">
      <t>ボウゴヘキ</t>
    </rPh>
    <rPh sb="8" eb="10">
      <t>セッチ</t>
    </rPh>
    <rPh sb="10" eb="11">
      <t>トウ</t>
    </rPh>
    <rPh sb="12" eb="14">
      <t>ヒツヨウ</t>
    </rPh>
    <phoneticPr fontId="1"/>
  </si>
  <si>
    <t>番号</t>
    <rPh sb="0" eb="2">
      <t>バンゴウ</t>
    </rPh>
    <phoneticPr fontId="1"/>
  </si>
  <si>
    <t>有床（6床以上）</t>
    <rPh sb="0" eb="2">
      <t>ユウショウ</t>
    </rPh>
    <rPh sb="4" eb="5">
      <t>ショウ</t>
    </rPh>
    <rPh sb="5" eb="7">
      <t>イジョウ</t>
    </rPh>
    <phoneticPr fontId="1"/>
  </si>
  <si>
    <t>※「医療施設近代化施設整備事業実施要綱」の３の（１）の⑩に該当する場合のみ選択。</t>
    <rPh sb="2" eb="4">
      <t>イリョウ</t>
    </rPh>
    <rPh sb="4" eb="6">
      <t>シセツ</t>
    </rPh>
    <rPh sb="6" eb="9">
      <t>キンダイカ</t>
    </rPh>
    <rPh sb="9" eb="11">
      <t>シセツ</t>
    </rPh>
    <rPh sb="11" eb="13">
      <t>セイビ</t>
    </rPh>
    <rPh sb="13" eb="15">
      <t>ジギョウ</t>
    </rPh>
    <rPh sb="15" eb="17">
      <t>ジッシ</t>
    </rPh>
    <rPh sb="17" eb="19">
      <t>ヨウコウ</t>
    </rPh>
    <rPh sb="29" eb="31">
      <t>ガイトウ</t>
    </rPh>
    <rPh sb="33" eb="35">
      <t>バアイ</t>
    </rPh>
    <rPh sb="37" eb="39">
      <t>センタク</t>
    </rPh>
    <phoneticPr fontId="1"/>
  </si>
  <si>
    <t>【内訳】</t>
    <rPh sb="1" eb="3">
      <t>ウチワケ</t>
    </rPh>
    <phoneticPr fontId="1"/>
  </si>
  <si>
    <t>【参考】限度となる面積</t>
    <rPh sb="1" eb="3">
      <t>サンコウ</t>
    </rPh>
    <rPh sb="4" eb="6">
      <t>ゲンド</t>
    </rPh>
    <rPh sb="9" eb="11">
      <t>メンセキ</t>
    </rPh>
    <phoneticPr fontId="1"/>
  </si>
  <si>
    <t>Ａ①</t>
    <phoneticPr fontId="1"/>
  </si>
  <si>
    <t>※「医療施設近代化施設整備事業実施要綱」の３の（１）の⑪に該当する場合のみ選択。</t>
    <rPh sb="2" eb="4">
      <t>イリョウ</t>
    </rPh>
    <rPh sb="4" eb="6">
      <t>シセツ</t>
    </rPh>
    <rPh sb="6" eb="9">
      <t>キンダイカ</t>
    </rPh>
    <rPh sb="9" eb="11">
      <t>シセツ</t>
    </rPh>
    <rPh sb="11" eb="13">
      <t>セイビ</t>
    </rPh>
    <rPh sb="13" eb="15">
      <t>ジギョウ</t>
    </rPh>
    <rPh sb="15" eb="17">
      <t>ジッシ</t>
    </rPh>
    <rPh sb="17" eb="19">
      <t>ヨウコウ</t>
    </rPh>
    <rPh sb="29" eb="31">
      <t>ガイトウ</t>
    </rPh>
    <rPh sb="33" eb="35">
      <t>バアイ</t>
    </rPh>
    <rPh sb="37" eb="39">
      <t>センタク</t>
    </rPh>
    <phoneticPr fontId="1"/>
  </si>
  <si>
    <t>※加算額には「５．当該年度進捗率」を乗じている。</t>
    <rPh sb="1" eb="4">
      <t>カサンガク</t>
    </rPh>
    <rPh sb="9" eb="11">
      <t>トウガイ</t>
    </rPh>
    <rPh sb="11" eb="13">
      <t>ネンド</t>
    </rPh>
    <rPh sb="13" eb="16">
      <t>シンチョクリツ</t>
    </rPh>
    <rPh sb="18" eb="19">
      <t>ジョウ</t>
    </rPh>
    <phoneticPr fontId="1"/>
  </si>
  <si>
    <t>※基準額には「５．当該年度進捗率」を乗じている。</t>
    <rPh sb="1" eb="3">
      <t>キジュン</t>
    </rPh>
    <rPh sb="3" eb="4">
      <t>ガク</t>
    </rPh>
    <rPh sb="9" eb="11">
      <t>トウガイ</t>
    </rPh>
    <rPh sb="11" eb="13">
      <t>ネンド</t>
    </rPh>
    <rPh sb="13" eb="16">
      <t>シンチョクリツ</t>
    </rPh>
    <rPh sb="18" eb="19">
      <t>ジョウ</t>
    </rPh>
    <phoneticPr fontId="1"/>
  </si>
  <si>
    <t>看護師の特定行為に係る指定研修機関等施設整備事業</t>
    <rPh sb="0" eb="3">
      <t>カンゴシ</t>
    </rPh>
    <rPh sb="4" eb="6">
      <t>トクテイ</t>
    </rPh>
    <rPh sb="6" eb="8">
      <t>コウイ</t>
    </rPh>
    <rPh sb="9" eb="10">
      <t>カカ</t>
    </rPh>
    <rPh sb="11" eb="13">
      <t>シテイ</t>
    </rPh>
    <rPh sb="13" eb="15">
      <t>ケンシュウ</t>
    </rPh>
    <rPh sb="15" eb="17">
      <t>キカン</t>
    </rPh>
    <rPh sb="17" eb="18">
      <t>トウ</t>
    </rPh>
    <rPh sb="18" eb="20">
      <t>シセツ</t>
    </rPh>
    <rPh sb="20" eb="22">
      <t>セイビ</t>
    </rPh>
    <rPh sb="22" eb="24">
      <t>ジギョウ</t>
    </rPh>
    <phoneticPr fontId="1"/>
  </si>
  <si>
    <t>地域拠点歯科診療助施設整備事業</t>
    <rPh sb="0" eb="2">
      <t>チイキ</t>
    </rPh>
    <rPh sb="2" eb="4">
      <t>キョテン</t>
    </rPh>
    <rPh sb="4" eb="6">
      <t>シカ</t>
    </rPh>
    <rPh sb="6" eb="9">
      <t>シンリョウジョ</t>
    </rPh>
    <rPh sb="9" eb="11">
      <t>シセツ</t>
    </rPh>
    <rPh sb="11" eb="13">
      <t>セイビ</t>
    </rPh>
    <rPh sb="13" eb="15">
      <t>ジギョウ</t>
    </rPh>
    <phoneticPr fontId="1"/>
  </si>
  <si>
    <t>(2) 病院群輪番制病院及び共同利用型病院施設整備事業</t>
    <phoneticPr fontId="1"/>
  </si>
  <si>
    <t>【目次】</t>
    <rPh sb="1" eb="3">
      <t>モクジ</t>
    </rPh>
    <phoneticPr fontId="1"/>
  </si>
  <si>
    <t>地域拠点歯科診療所施設整備事業</t>
    <phoneticPr fontId="1"/>
  </si>
  <si>
    <t>看護師の特定行為に係る
指定研修機関等施設整備事業</t>
    <phoneticPr fontId="1"/>
  </si>
  <si>
    <t>【作成要領】</t>
    <rPh sb="1" eb="3">
      <t>サクセイ</t>
    </rPh>
    <rPh sb="3" eb="5">
      <t>ヨウリョウ</t>
    </rPh>
    <phoneticPr fontId="1"/>
  </si>
  <si>
    <t>○医療提供体制施設整備交付金交付要綱に定める第１号様式別紙１『医療提供施設等の整備に関する計画』に記載するすべて事業について、それぞれ基準額算出内訳を作成すること。</t>
    <rPh sb="22" eb="23">
      <t>ダイ</t>
    </rPh>
    <rPh sb="24" eb="25">
      <t>ゴウ</t>
    </rPh>
    <rPh sb="25" eb="27">
      <t>ヨウシキ</t>
    </rPh>
    <rPh sb="27" eb="29">
      <t>ベッシ</t>
    </rPh>
    <phoneticPr fontId="1"/>
  </si>
  <si>
    <r>
      <t>○</t>
    </r>
    <r>
      <rPr>
        <b/>
        <sz val="11"/>
        <color rgb="FFFF0000"/>
        <rFont val="ＭＳ Ｐゴシック"/>
        <family val="3"/>
        <charset val="128"/>
        <scheme val="minor"/>
      </rPr>
      <t>黄色いセルをすべて入力すること。</t>
    </r>
    <rPh sb="1" eb="3">
      <t>キイロ</t>
    </rPh>
    <rPh sb="10" eb="12">
      <t>ニュウリョク</t>
    </rPh>
    <phoneticPr fontId="1"/>
  </si>
  <si>
    <r>
      <t>○白いセルは自動計算で表示されるため、原則</t>
    </r>
    <r>
      <rPr>
        <b/>
        <sz val="11"/>
        <color theme="1"/>
        <rFont val="ＭＳ Ｐゴシック"/>
        <family val="3"/>
        <charset val="128"/>
        <scheme val="minor"/>
      </rPr>
      <t>編集しない</t>
    </r>
    <r>
      <rPr>
        <sz val="11"/>
        <color theme="1"/>
        <rFont val="ＭＳ Ｐゴシック"/>
        <family val="2"/>
        <scheme val="minor"/>
      </rPr>
      <t>こと。</t>
    </r>
    <rPh sb="1" eb="2">
      <t>シロ</t>
    </rPh>
    <rPh sb="6" eb="8">
      <t>ジドウ</t>
    </rPh>
    <rPh sb="8" eb="10">
      <t>ケイサン</t>
    </rPh>
    <rPh sb="11" eb="13">
      <t>ヒョウジ</t>
    </rPh>
    <rPh sb="19" eb="21">
      <t>ゲンソク</t>
    </rPh>
    <rPh sb="21" eb="23">
      <t>ヘンシュウ</t>
    </rPh>
    <phoneticPr fontId="1"/>
  </si>
  <si>
    <t>○青いセルの右隣に表示される数字を、第１様式別紙２『事業の実施に要する経費に関する調書』の（Ａ）欄に記入すること。</t>
    <rPh sb="1" eb="2">
      <t>アオ</t>
    </rPh>
    <rPh sb="6" eb="8">
      <t>ミギドナリ</t>
    </rPh>
    <rPh sb="9" eb="11">
      <t>ヒョウジ</t>
    </rPh>
    <rPh sb="14" eb="16">
      <t>スウジ</t>
    </rPh>
    <rPh sb="18" eb="19">
      <t>ダイ</t>
    </rPh>
    <rPh sb="20" eb="22">
      <t>ヨウシキ</t>
    </rPh>
    <rPh sb="22" eb="24">
      <t>ベッシ</t>
    </rPh>
    <rPh sb="48" eb="49">
      <t>ラン</t>
    </rPh>
    <rPh sb="50" eb="52">
      <t>キニュウ</t>
    </rPh>
    <phoneticPr fontId="1"/>
  </si>
  <si>
    <t>基 準 額 算 出 内 訳 書</t>
    <rPh sb="0" eb="1">
      <t>モト</t>
    </rPh>
    <rPh sb="2" eb="3">
      <t>ジュン</t>
    </rPh>
    <rPh sb="4" eb="5">
      <t>ガク</t>
    </rPh>
    <rPh sb="6" eb="7">
      <t>サン</t>
    </rPh>
    <rPh sb="8" eb="9">
      <t>デ</t>
    </rPh>
    <rPh sb="10" eb="11">
      <t>ウチ</t>
    </rPh>
    <rPh sb="12" eb="13">
      <t>ヤク</t>
    </rPh>
    <rPh sb="14" eb="15">
      <t>ショ</t>
    </rPh>
    <phoneticPr fontId="1"/>
  </si>
  <si>
    <t>11．電子カルテシステムの整備にかかる費用</t>
    <rPh sb="3" eb="5">
      <t>デンシ</t>
    </rPh>
    <rPh sb="13" eb="15">
      <t>セイビ</t>
    </rPh>
    <rPh sb="19" eb="21">
      <t>ヒヨウ</t>
    </rPh>
    <phoneticPr fontId="1"/>
  </si>
  <si>
    <t>12．10と11を比較して低い方（円）</t>
    <rPh sb="9" eb="11">
      <t>ヒカク</t>
    </rPh>
    <rPh sb="13" eb="14">
      <t>ヒク</t>
    </rPh>
    <rPh sb="15" eb="16">
      <t>ホウ</t>
    </rPh>
    <rPh sb="17" eb="18">
      <t>エン</t>
    </rPh>
    <phoneticPr fontId="1"/>
  </si>
  <si>
    <t>13．当該年度基準額（６×９＋１2）</t>
    <phoneticPr fontId="1"/>
  </si>
  <si>
    <r>
      <t>○</t>
    </r>
    <r>
      <rPr>
        <b/>
        <sz val="11"/>
        <color theme="1"/>
        <rFont val="ＭＳ Ｐゴシック"/>
        <family val="3"/>
        <charset val="128"/>
        <scheme val="minor"/>
      </rPr>
      <t>建築面積</t>
    </r>
    <r>
      <rPr>
        <sz val="11"/>
        <color theme="1"/>
        <rFont val="ＭＳ Ｐゴシック"/>
        <family val="2"/>
        <scheme val="minor"/>
      </rPr>
      <t>：補助対象区域の面積</t>
    </r>
    <rPh sb="1" eb="3">
      <t>ケンチク</t>
    </rPh>
    <rPh sb="3" eb="5">
      <t>メンセキ</t>
    </rPh>
    <rPh sb="6" eb="8">
      <t>ホジョ</t>
    </rPh>
    <rPh sb="8" eb="10">
      <t>タイショウ</t>
    </rPh>
    <rPh sb="10" eb="12">
      <t>クイキ</t>
    </rPh>
    <rPh sb="13" eb="15">
      <t>メンセキ</t>
    </rPh>
    <phoneticPr fontId="1"/>
  </si>
  <si>
    <r>
      <t>○</t>
    </r>
    <r>
      <rPr>
        <b/>
        <sz val="11"/>
        <color theme="1"/>
        <rFont val="ＭＳ Ｐゴシック"/>
        <family val="3"/>
        <charset val="128"/>
        <scheme val="minor"/>
      </rPr>
      <t>建築単価</t>
    </r>
    <r>
      <rPr>
        <sz val="11"/>
        <color theme="1"/>
        <rFont val="ＭＳ Ｐゴシック"/>
        <family val="2"/>
        <scheme val="minor"/>
      </rPr>
      <t>／補強単価：補助対象事業の対象経費と認められる工事費又は工事請負費等÷建築面積</t>
    </r>
    <rPh sb="1" eb="3">
      <t>ケンチク</t>
    </rPh>
    <rPh sb="3" eb="5">
      <t>タンカ</t>
    </rPh>
    <rPh sb="6" eb="8">
      <t>ホキョウ</t>
    </rPh>
    <rPh sb="8" eb="10">
      <t>タンカ</t>
    </rPh>
    <rPh sb="11" eb="13">
      <t>ホジョ</t>
    </rPh>
    <rPh sb="13" eb="15">
      <t>タイショウ</t>
    </rPh>
    <rPh sb="15" eb="17">
      <t>ジギョウ</t>
    </rPh>
    <rPh sb="18" eb="20">
      <t>タイショウ</t>
    </rPh>
    <rPh sb="20" eb="22">
      <t>ケイヒ</t>
    </rPh>
    <rPh sb="23" eb="24">
      <t>ミト</t>
    </rPh>
    <rPh sb="28" eb="31">
      <t>コウジヒ</t>
    </rPh>
    <rPh sb="31" eb="32">
      <t>マタ</t>
    </rPh>
    <rPh sb="33" eb="35">
      <t>コウジ</t>
    </rPh>
    <rPh sb="35" eb="37">
      <t>ウケオイ</t>
    </rPh>
    <rPh sb="37" eb="38">
      <t>ヒ</t>
    </rPh>
    <rPh sb="38" eb="39">
      <t>トウ</t>
    </rPh>
    <rPh sb="40" eb="42">
      <t>ケンチク</t>
    </rPh>
    <rPh sb="42" eb="44">
      <t>メンセキ</t>
    </rPh>
    <phoneticPr fontId="1"/>
  </si>
  <si>
    <t>○配布した様式に当て嵌まらない場合は、基準額算出内訳書に準ずる任意の様式にて、基準額の算出根拠を明示すること。</t>
    <rPh sb="1" eb="3">
      <t>ハイフ</t>
    </rPh>
    <rPh sb="5" eb="7">
      <t>ヨウシキ</t>
    </rPh>
    <rPh sb="8" eb="9">
      <t>ア</t>
    </rPh>
    <rPh sb="10" eb="11">
      <t>ハ</t>
    </rPh>
    <rPh sb="15" eb="17">
      <t>バアイ</t>
    </rPh>
    <rPh sb="19" eb="22">
      <t>キジュンガク</t>
    </rPh>
    <rPh sb="22" eb="24">
      <t>サンシュツ</t>
    </rPh>
    <rPh sb="24" eb="27">
      <t>ウチワケショ</t>
    </rPh>
    <rPh sb="28" eb="29">
      <t>ジュン</t>
    </rPh>
    <rPh sb="31" eb="33">
      <t>ニンイ</t>
    </rPh>
    <rPh sb="34" eb="36">
      <t>ヨウシキ</t>
    </rPh>
    <rPh sb="39" eb="42">
      <t>キジュンガク</t>
    </rPh>
    <rPh sb="43" eb="45">
      <t>サンシュツ</t>
    </rPh>
    <rPh sb="45" eb="47">
      <t>コンキョ</t>
    </rPh>
    <rPh sb="48" eb="50">
      <t>メイジ</t>
    </rPh>
    <phoneticPr fontId="1"/>
  </si>
  <si>
    <t>Ａ①</t>
    <phoneticPr fontId="1"/>
  </si>
  <si>
    <t>２．当該年度進捗率（％）</t>
    <rPh sb="2" eb="4">
      <t>トウガイ</t>
    </rPh>
    <rPh sb="4" eb="6">
      <t>ネンド</t>
    </rPh>
    <rPh sb="6" eb="9">
      <t>シンチョクリツ</t>
    </rPh>
    <phoneticPr fontId="1"/>
  </si>
  <si>
    <t>３．当該年度基準額（１×２×３）</t>
    <phoneticPr fontId="1"/>
  </si>
  <si>
    <t>非常用自家発電設備</t>
    <rPh sb="0" eb="3">
      <t>ヒジョウヨウ</t>
    </rPh>
    <rPh sb="3" eb="5">
      <t>ジカ</t>
    </rPh>
    <rPh sb="5" eb="7">
      <t>ハツデン</t>
    </rPh>
    <rPh sb="7" eb="9">
      <t>セツビ</t>
    </rPh>
    <phoneticPr fontId="1"/>
  </si>
  <si>
    <t>給水設備</t>
    <rPh sb="0" eb="2">
      <t>キュウスイ</t>
    </rPh>
    <rPh sb="2" eb="4">
      <t>セツビ</t>
    </rPh>
    <phoneticPr fontId="1"/>
  </si>
  <si>
    <t>燃料タンク</t>
    <rPh sb="0" eb="2">
      <t>ネンリョウ</t>
    </rPh>
    <phoneticPr fontId="1"/>
  </si>
  <si>
    <t>非常用自家発電装置及び給水整備事業</t>
    <rPh sb="0" eb="3">
      <t>ヒジョウヨウ</t>
    </rPh>
    <rPh sb="3" eb="5">
      <t>ジカ</t>
    </rPh>
    <rPh sb="5" eb="7">
      <t>ハツデン</t>
    </rPh>
    <rPh sb="7" eb="9">
      <t>ソウチ</t>
    </rPh>
    <rPh sb="9" eb="10">
      <t>オヨ</t>
    </rPh>
    <rPh sb="11" eb="13">
      <t>キュウスイ</t>
    </rPh>
    <rPh sb="13" eb="15">
      <t>セイビ</t>
    </rPh>
    <rPh sb="15" eb="17">
      <t>ジギョウ</t>
    </rPh>
    <phoneticPr fontId="1"/>
  </si>
  <si>
    <t>(1)精神病院</t>
    <rPh sb="3" eb="5">
      <t>セイシン</t>
    </rPh>
    <phoneticPr fontId="1"/>
  </si>
  <si>
    <t>（14・15）-1</t>
    <phoneticPr fontId="1"/>
  </si>
  <si>
    <t>（16）</t>
    <phoneticPr fontId="1"/>
  </si>
  <si>
    <t>精神病院</t>
    <rPh sb="0" eb="2">
      <t>セイシン</t>
    </rPh>
    <rPh sb="2" eb="4">
      <t>ビョウイン</t>
    </rPh>
    <phoneticPr fontId="1"/>
  </si>
  <si>
    <t>（１４）基幹災害拠点病院施設整備事業</t>
    <phoneticPr fontId="1"/>
  </si>
  <si>
    <t>（１５）地域災害拠点病院施設整備事業</t>
    <phoneticPr fontId="1"/>
  </si>
  <si>
    <t>（１）精神病院</t>
    <rPh sb="3" eb="5">
      <t>セイシン</t>
    </rPh>
    <rPh sb="5" eb="7">
      <t>ビョウイン</t>
    </rPh>
    <phoneticPr fontId="1"/>
  </si>
  <si>
    <t>（１）精神病院／（２）結核病棟</t>
    <rPh sb="3" eb="5">
      <t>セイシン</t>
    </rPh>
    <rPh sb="5" eb="7">
      <t>ビョウイン</t>
    </rPh>
    <rPh sb="11" eb="13">
      <t>ケッカク</t>
    </rPh>
    <rPh sb="13" eb="15">
      <t>ビョウトウ</t>
    </rPh>
    <phoneticPr fontId="1"/>
  </si>
  <si>
    <t>（２）結核病棟</t>
    <phoneticPr fontId="1"/>
  </si>
  <si>
    <t>（５）介護老人保健施設及び診療所</t>
    <rPh sb="3" eb="5">
      <t>カイゴ</t>
    </rPh>
    <rPh sb="5" eb="7">
      <t>ロウジン</t>
    </rPh>
    <rPh sb="7" eb="9">
      <t>ホケン</t>
    </rPh>
    <rPh sb="9" eb="11">
      <t>シセツ</t>
    </rPh>
    <rPh sb="11" eb="12">
      <t>オヨ</t>
    </rPh>
    <rPh sb="13" eb="16">
      <t>シンリョウジョ</t>
    </rPh>
    <phoneticPr fontId="1"/>
  </si>
  <si>
    <t>（４）療養病床療養環境</t>
    <rPh sb="3" eb="5">
      <t>リョウヨウ</t>
    </rPh>
    <rPh sb="5" eb="7">
      <t>ビョウショウ</t>
    </rPh>
    <rPh sb="7" eb="9">
      <t>リョウヨウ</t>
    </rPh>
    <rPh sb="9" eb="11">
      <t>カンキョウ</t>
    </rPh>
    <phoneticPr fontId="1"/>
  </si>
  <si>
    <t>（３）診療所</t>
    <rPh sb="3" eb="6">
      <t>シンリョウジョ</t>
    </rPh>
    <phoneticPr fontId="1"/>
  </si>
  <si>
    <t>(2) 結核病棟改修等整備事業</t>
    <phoneticPr fontId="1"/>
  </si>
  <si>
    <t>(3) 診療所</t>
    <phoneticPr fontId="1"/>
  </si>
  <si>
    <t>(4) 療養病床療養環境改善事業</t>
    <phoneticPr fontId="1"/>
  </si>
  <si>
    <t>(5) 介護老人保健施設及び診療所</t>
    <phoneticPr fontId="1"/>
  </si>
  <si>
    <t>（１７）腎移植施設施設整備事業</t>
    <phoneticPr fontId="1"/>
  </si>
  <si>
    <t>（１８）特殊病室施設整備事業</t>
    <phoneticPr fontId="1"/>
  </si>
  <si>
    <t>（１９）肝移植施設施設整備事業</t>
    <phoneticPr fontId="1"/>
  </si>
  <si>
    <t>（２０）治験施設施設整備事業</t>
    <phoneticPr fontId="1"/>
  </si>
  <si>
    <t>（２３）医療施設耐震整備事業</t>
    <phoneticPr fontId="1"/>
  </si>
  <si>
    <t>（２４）南海トラフ地震に係る津波避難対策緊急事業</t>
    <phoneticPr fontId="1"/>
  </si>
  <si>
    <t>（２５）アスベスト除去等整備事業</t>
    <phoneticPr fontId="1"/>
  </si>
  <si>
    <t>（２６）医療機器管理室施設整備事業</t>
    <phoneticPr fontId="1"/>
  </si>
  <si>
    <t>(28)看護師の特定行為に係る指定研修機関等施設整備事業</t>
    <phoneticPr fontId="1"/>
  </si>
  <si>
    <t>(29)地域拠点歯科診療所施設整備事業</t>
    <phoneticPr fontId="1"/>
  </si>
  <si>
    <t>(26)医療機器管理室施設整備事業</t>
    <phoneticPr fontId="1"/>
  </si>
  <si>
    <t>(21)特定地域病院施設整備事業</t>
    <phoneticPr fontId="1"/>
  </si>
  <si>
    <t>(17)腎移植施設施設整備事業</t>
    <phoneticPr fontId="1"/>
  </si>
  <si>
    <t>(19)肝移植施設施設整備事業</t>
    <phoneticPr fontId="1"/>
  </si>
  <si>
    <t>(20)治験施設施設整備事業</t>
    <phoneticPr fontId="1"/>
  </si>
  <si>
    <t>災害拠点精神科病院施設整備事業</t>
    <rPh sb="0" eb="2">
      <t>サイガイ</t>
    </rPh>
    <rPh sb="2" eb="4">
      <t>キョテン</t>
    </rPh>
    <rPh sb="4" eb="7">
      <t>セイシンカ</t>
    </rPh>
    <rPh sb="7" eb="9">
      <t>ビョウイン</t>
    </rPh>
    <rPh sb="9" eb="11">
      <t>シセツ</t>
    </rPh>
    <rPh sb="11" eb="13">
      <t>セイビ</t>
    </rPh>
    <rPh sb="13" eb="15">
      <t>ジギョウ</t>
    </rPh>
    <phoneticPr fontId="1"/>
  </si>
  <si>
    <t>非常用自家発電設備及び給水設備整備事業</t>
    <rPh sb="0" eb="3">
      <t>ヒジョウヨウ</t>
    </rPh>
    <rPh sb="3" eb="5">
      <t>ジカ</t>
    </rPh>
    <rPh sb="5" eb="7">
      <t>ハツデン</t>
    </rPh>
    <rPh sb="7" eb="9">
      <t>セツビ</t>
    </rPh>
    <rPh sb="9" eb="10">
      <t>オヨ</t>
    </rPh>
    <rPh sb="11" eb="13">
      <t>キュウスイ</t>
    </rPh>
    <rPh sb="13" eb="15">
      <t>セツビ</t>
    </rPh>
    <rPh sb="15" eb="17">
      <t>セイビ</t>
    </rPh>
    <rPh sb="17" eb="19">
      <t>ジギョウ</t>
    </rPh>
    <phoneticPr fontId="1"/>
  </si>
  <si>
    <t>医療施設浸水対策事業</t>
    <rPh sb="0" eb="2">
      <t>イリョウ</t>
    </rPh>
    <rPh sb="2" eb="4">
      <t>シセツ</t>
    </rPh>
    <rPh sb="4" eb="6">
      <t>シンスイ</t>
    </rPh>
    <rPh sb="6" eb="8">
      <t>タイサク</t>
    </rPh>
    <rPh sb="8" eb="10">
      <t>ジギョウ</t>
    </rPh>
    <phoneticPr fontId="1"/>
  </si>
  <si>
    <t>（28）</t>
  </si>
  <si>
    <t>（29）</t>
  </si>
  <si>
    <t>（2２）</t>
    <phoneticPr fontId="1"/>
  </si>
  <si>
    <t>（23）</t>
  </si>
  <si>
    <t>（24）</t>
  </si>
  <si>
    <t>（25）</t>
  </si>
  <si>
    <t>（26）</t>
  </si>
  <si>
    <t>（27）</t>
  </si>
  <si>
    <t>（17）</t>
  </si>
  <si>
    <t>（18）</t>
  </si>
  <si>
    <t>（19）</t>
  </si>
  <si>
    <t>（20）</t>
  </si>
  <si>
    <t>（29）地域拠点歯科診療所施設整備事業</t>
    <phoneticPr fontId="1"/>
  </si>
  <si>
    <t>（28）看護師の特定行為に係る指定研修機関等施設整備事業</t>
    <phoneticPr fontId="1"/>
  </si>
  <si>
    <t>（27）地球温暖化対策施設整備事業</t>
    <phoneticPr fontId="1"/>
  </si>
  <si>
    <t>医療施設土砂災害防止施設整備事業</t>
    <rPh sb="0" eb="2">
      <t>イリョウ</t>
    </rPh>
    <rPh sb="2" eb="4">
      <t>シセツ</t>
    </rPh>
    <rPh sb="4" eb="6">
      <t>ドシャ</t>
    </rPh>
    <rPh sb="6" eb="8">
      <t>サイガイ</t>
    </rPh>
    <rPh sb="8" eb="10">
      <t>ボウシ</t>
    </rPh>
    <rPh sb="10" eb="12">
      <t>シセツ</t>
    </rPh>
    <rPh sb="12" eb="14">
      <t>セイビ</t>
    </rPh>
    <rPh sb="14" eb="16">
      <t>ジギョウ</t>
    </rPh>
    <phoneticPr fontId="1"/>
  </si>
  <si>
    <t>医療施設浸水対策事業</t>
    <rPh sb="0" eb="2">
      <t>イリョウ</t>
    </rPh>
    <rPh sb="2" eb="4">
      <t>シセツ</t>
    </rPh>
    <rPh sb="4" eb="6">
      <t>シンスイ</t>
    </rPh>
    <rPh sb="6" eb="8">
      <t>タイサク</t>
    </rPh>
    <rPh sb="8" eb="10">
      <t>ジギョウ</t>
    </rPh>
    <phoneticPr fontId="1"/>
  </si>
  <si>
    <t>医療用設備の想定浸水深または基準推移以上への移設が必要</t>
    <rPh sb="0" eb="3">
      <t>イリョウヨウ</t>
    </rPh>
    <rPh sb="3" eb="5">
      <t>セツビ</t>
    </rPh>
    <rPh sb="6" eb="8">
      <t>ソウテイ</t>
    </rPh>
    <rPh sb="8" eb="10">
      <t>シンスイ</t>
    </rPh>
    <rPh sb="10" eb="11">
      <t>フカ</t>
    </rPh>
    <rPh sb="14" eb="16">
      <t>キジュン</t>
    </rPh>
    <rPh sb="16" eb="18">
      <t>スイイ</t>
    </rPh>
    <rPh sb="18" eb="20">
      <t>イジョウ</t>
    </rPh>
    <rPh sb="22" eb="24">
      <t>イセツ</t>
    </rPh>
    <rPh sb="25" eb="27">
      <t>ヒツヨウ</t>
    </rPh>
    <phoneticPr fontId="1"/>
  </si>
  <si>
    <t>電源設備の想定浸水深または基準推移以上への移設が必要</t>
    <rPh sb="0" eb="2">
      <t>デンゲン</t>
    </rPh>
    <rPh sb="2" eb="4">
      <t>セツビ</t>
    </rPh>
    <phoneticPr fontId="1"/>
  </si>
  <si>
    <t>止水板の設置が必要</t>
    <rPh sb="0" eb="3">
      <t>シスイバン</t>
    </rPh>
    <rPh sb="4" eb="6">
      <t>セッチ</t>
    </rPh>
    <rPh sb="7" eb="9">
      <t>ヒツヨウ</t>
    </rPh>
    <phoneticPr fontId="1"/>
  </si>
  <si>
    <t>補強以外</t>
    <rPh sb="0" eb="2">
      <t>ホキョウ</t>
    </rPh>
    <rPh sb="2" eb="4">
      <t>イガイ</t>
    </rPh>
    <phoneticPr fontId="1"/>
  </si>
  <si>
    <t>（14・15）-2</t>
    <phoneticPr fontId="1"/>
  </si>
  <si>
    <t>（１６）災害拠点精神科病院施設整備事業</t>
    <phoneticPr fontId="1"/>
  </si>
  <si>
    <t>（３０）非常用自家発電設備及び給水設備事業</t>
    <rPh sb="4" eb="7">
      <t>ヒジョウヨウ</t>
    </rPh>
    <rPh sb="7" eb="9">
      <t>ジカ</t>
    </rPh>
    <rPh sb="9" eb="11">
      <t>ハツデン</t>
    </rPh>
    <rPh sb="11" eb="13">
      <t>セツビ</t>
    </rPh>
    <rPh sb="13" eb="14">
      <t>オヨ</t>
    </rPh>
    <rPh sb="15" eb="17">
      <t>キュウスイ</t>
    </rPh>
    <rPh sb="17" eb="19">
      <t>セツビ</t>
    </rPh>
    <rPh sb="19" eb="21">
      <t>ジギョウ</t>
    </rPh>
    <phoneticPr fontId="1"/>
  </si>
  <si>
    <t>（２２）医療施設土砂災害防止施設整備事業</t>
    <rPh sb="4" eb="6">
      <t>イリョウ</t>
    </rPh>
    <rPh sb="6" eb="8">
      <t>シセツ</t>
    </rPh>
    <rPh sb="8" eb="10">
      <t>ドシャ</t>
    </rPh>
    <rPh sb="10" eb="12">
      <t>サイガイ</t>
    </rPh>
    <rPh sb="12" eb="14">
      <t>ボウシ</t>
    </rPh>
    <rPh sb="14" eb="16">
      <t>シセツ</t>
    </rPh>
    <rPh sb="16" eb="18">
      <t>セイビ</t>
    </rPh>
    <rPh sb="18" eb="20">
      <t>ジギョウ</t>
    </rPh>
    <phoneticPr fontId="1"/>
  </si>
  <si>
    <t>省略　※シート番号(21）も省略</t>
    <rPh sb="0" eb="2">
      <t>ショウリャク</t>
    </rPh>
    <rPh sb="7" eb="9">
      <t>バンゴウ</t>
    </rPh>
    <rPh sb="14" eb="16">
      <t>ショウリャク</t>
    </rPh>
    <phoneticPr fontId="1"/>
  </si>
  <si>
    <t>医療施設土砂災害防止施設整備事業</t>
    <rPh sb="0" eb="2">
      <t>イリョウ</t>
    </rPh>
    <rPh sb="2" eb="4">
      <t>シセツ</t>
    </rPh>
    <rPh sb="4" eb="6">
      <t>ドシャ</t>
    </rPh>
    <rPh sb="6" eb="8">
      <t>サイガイ</t>
    </rPh>
    <rPh sb="8" eb="10">
      <t>ボウシ</t>
    </rPh>
    <rPh sb="10" eb="12">
      <t>シセツ</t>
    </rPh>
    <rPh sb="12" eb="14">
      <t>セイビ</t>
    </rPh>
    <rPh sb="14" eb="16">
      <t>ジギョウ</t>
    </rPh>
    <phoneticPr fontId="1"/>
  </si>
  <si>
    <t>（31）医療施設浸水対策事業</t>
    <rPh sb="4" eb="6">
      <t>イリョウ</t>
    </rPh>
    <rPh sb="6" eb="8">
      <t>シセツ</t>
    </rPh>
    <rPh sb="8" eb="10">
      <t>シンスイ</t>
    </rPh>
    <rPh sb="10" eb="12">
      <t>タイサク</t>
    </rPh>
    <rPh sb="12" eb="14">
      <t>ジギョウ</t>
    </rPh>
    <phoneticPr fontId="1"/>
  </si>
  <si>
    <t>（１６）災害拠点精神科病院施設整備事業</t>
  </si>
  <si>
    <t>(31)医療施設浸水対策事業</t>
    <rPh sb="4" eb="6">
      <t>イリョウ</t>
    </rPh>
    <rPh sb="6" eb="8">
      <t>シセツ</t>
    </rPh>
    <rPh sb="8" eb="10">
      <t>シンスイ</t>
    </rPh>
    <rPh sb="10" eb="12">
      <t>タイサク</t>
    </rPh>
    <rPh sb="12" eb="14">
      <t>ジギョウ</t>
    </rPh>
    <phoneticPr fontId="1"/>
  </si>
  <si>
    <t>（31）</t>
    <phoneticPr fontId="1"/>
  </si>
  <si>
    <t>(16)-1</t>
    <phoneticPr fontId="1"/>
  </si>
  <si>
    <t>(16)-2</t>
    <phoneticPr fontId="1"/>
  </si>
  <si>
    <t>２．補助対象面積（㎡）</t>
    <rPh sb="2" eb="4">
      <t>ホジョ</t>
    </rPh>
    <rPh sb="4" eb="6">
      <t>タイショウ</t>
    </rPh>
    <rPh sb="6" eb="8">
      <t>メンセキ</t>
    </rPh>
    <phoneticPr fontId="1"/>
  </si>
  <si>
    <t>（１４）基幹災害拠点病院施設整備事業</t>
  </si>
  <si>
    <t>医療用設備の想定浸水深または基準推移以上への移設</t>
    <rPh sb="0" eb="3">
      <t>イリョウヨウ</t>
    </rPh>
    <rPh sb="3" eb="5">
      <t>セツビ</t>
    </rPh>
    <rPh sb="6" eb="8">
      <t>ソウテイ</t>
    </rPh>
    <rPh sb="8" eb="10">
      <t>シンスイ</t>
    </rPh>
    <rPh sb="10" eb="11">
      <t>フカ</t>
    </rPh>
    <rPh sb="14" eb="16">
      <t>キジュン</t>
    </rPh>
    <rPh sb="16" eb="18">
      <t>スイイ</t>
    </rPh>
    <rPh sb="18" eb="20">
      <t>イジョウ</t>
    </rPh>
    <rPh sb="22" eb="24">
      <t>イセツ</t>
    </rPh>
    <phoneticPr fontId="1"/>
  </si>
  <si>
    <t>電源設備の想定浸水深または基準推移以上への移設</t>
    <rPh sb="0" eb="2">
      <t>デンゲン</t>
    </rPh>
    <rPh sb="2" eb="4">
      <t>セツビ</t>
    </rPh>
    <phoneticPr fontId="1"/>
  </si>
  <si>
    <t>止水板の設置</t>
    <rPh sb="0" eb="3">
      <t>シスイバン</t>
    </rPh>
    <rPh sb="4" eb="6">
      <t>セッチ</t>
    </rPh>
    <phoneticPr fontId="1"/>
  </si>
  <si>
    <t>排水ポンプ及び雨水貯留槽の設置</t>
    <rPh sb="0" eb="2">
      <t>ハイスイ</t>
    </rPh>
    <rPh sb="5" eb="6">
      <t>オヨ</t>
    </rPh>
    <rPh sb="7" eb="9">
      <t>アマミズ</t>
    </rPh>
    <rPh sb="9" eb="11">
      <t>チョリュウ</t>
    </rPh>
    <rPh sb="11" eb="12">
      <t>ソウ</t>
    </rPh>
    <rPh sb="13" eb="15">
      <t>セッチ</t>
    </rPh>
    <phoneticPr fontId="1"/>
  </si>
  <si>
    <t>今回対象事業</t>
    <rPh sb="0" eb="2">
      <t>コンカイ</t>
    </rPh>
    <rPh sb="2" eb="4">
      <t>タイショウ</t>
    </rPh>
    <rPh sb="4" eb="6">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</si>
</sst>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quot;¥&quot;#,##0_);[Red]\(&quot;¥&quot;#,##0\)"/>
    <numFmt numFmtId="178" formatCode="#,##0_ "/>
  </numFmts>
  <fonts count="20">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b/>
      <sz val="14"/>
      <color theme="1"/>
      <name val="ＭＳ ゴシック"/>
      <family val="3"/>
      <charset val="128"/>
    </font>
    <font>
      <sz val="11"/>
      <color theme="1"/>
      <name val="ＭＳ ゴシック"/>
      <family val="3"/>
      <charset val="128"/>
    </font>
    <font>
      <sz val="10"/>
      <color theme="1"/>
      <name val="ＭＳ ゴシック"/>
      <family val="3"/>
      <charset val="128"/>
    </font>
    <font>
      <b/>
      <sz val="9"/>
      <color indexed="81"/>
      <name val="ＭＳ Ｐゴシック"/>
      <family val="3"/>
      <charset val="128"/>
    </font>
    <font>
      <u/>
      <sz val="11"/>
      <color theme="1"/>
      <name val="ＭＳ ゴシック"/>
      <family val="3"/>
      <charset val="128"/>
    </font>
    <font>
      <sz val="10.5"/>
      <color theme="1"/>
      <name val="ＭＳ ゴシック"/>
      <family val="3"/>
      <charset val="128"/>
    </font>
    <font>
      <sz val="1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明朝"/>
      <family val="1"/>
      <charset val="128"/>
    </font>
    <font>
      <sz val="11"/>
      <name val="ＭＳ Ｐゴシック"/>
      <family val="2"/>
      <scheme val="minor"/>
    </font>
    <font>
      <sz val="11"/>
      <name val="MS-Mincho"/>
      <family val="2"/>
    </font>
    <font>
      <sz val="12"/>
      <name val="ＭＳ Ｐゴシック"/>
      <family val="3"/>
      <charset val="128"/>
      <scheme val="minor"/>
    </font>
    <font>
      <sz val="11"/>
      <color theme="1"/>
      <name val="ＭＳ Ｐゴシック"/>
      <family val="3"/>
      <charset val="128"/>
      <scheme val="minor"/>
    </font>
    <font>
      <sz val="10"/>
      <color theme="1"/>
      <name val="ＭＳ Ｐゴシック"/>
      <family val="2"/>
      <scheme val="minor"/>
    </font>
    <font>
      <b/>
      <sz val="9"/>
      <color indexed="81"/>
      <name val="MS P ゴシック"/>
      <family val="3"/>
      <charset val="128"/>
    </font>
    <font>
      <sz val="11"/>
      <color rgb="FFFF0000"/>
      <name val="ＭＳ Ｐゴシック"/>
      <family val="2"/>
      <scheme val="minor"/>
    </font>
  </fonts>
  <fills count="6">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
      <patternFill patternType="solid">
        <fgColor theme="9"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84">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applyBorder="1" applyAlignment="1">
      <alignment vertical="center"/>
    </xf>
    <xf numFmtId="38" fontId="4" fillId="0" borderId="0" xfId="1" applyFont="1" applyBorder="1" applyAlignment="1">
      <alignment vertical="center"/>
    </xf>
    <xf numFmtId="0" fontId="4" fillId="0" borderId="0" xfId="0" applyFont="1" applyFill="1" applyBorder="1" applyAlignment="1">
      <alignment vertical="center"/>
    </xf>
    <xf numFmtId="38" fontId="4" fillId="0" borderId="0" xfId="1" applyFont="1" applyAlignment="1">
      <alignment vertical="center"/>
    </xf>
    <xf numFmtId="38" fontId="4" fillId="2" borderId="1" xfId="1" applyFont="1" applyFill="1" applyBorder="1" applyAlignment="1">
      <alignment vertical="center"/>
    </xf>
    <xf numFmtId="10" fontId="4" fillId="2" borderId="1" xfId="2" applyNumberFormat="1" applyFont="1" applyFill="1" applyBorder="1" applyAlignment="1">
      <alignment vertical="center"/>
    </xf>
    <xf numFmtId="0" fontId="4" fillId="0" borderId="0" xfId="0" applyFont="1" applyBorder="1" applyAlignment="1">
      <alignment horizontal="distributed" vertical="center"/>
    </xf>
    <xf numFmtId="176" fontId="4" fillId="0" borderId="0" xfId="0" applyNumberFormat="1" applyFont="1" applyFill="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left" vertical="center"/>
    </xf>
    <xf numFmtId="38" fontId="4" fillId="0" borderId="1" xfId="1" applyFont="1" applyFill="1" applyBorder="1" applyAlignment="1">
      <alignment vertical="center"/>
    </xf>
    <xf numFmtId="0" fontId="4" fillId="0" borderId="0" xfId="0" applyFont="1" applyAlignment="1">
      <alignment horizontal="right" vertical="center"/>
    </xf>
    <xf numFmtId="0" fontId="4" fillId="0" borderId="0" xfId="0" applyFont="1" applyFill="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38" fontId="0" fillId="0" borderId="0" xfId="1" applyFont="1" applyAlignment="1">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2"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2"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vertical="center"/>
    </xf>
    <xf numFmtId="38" fontId="0" fillId="0" borderId="0" xfId="1" applyFont="1" applyBorder="1" applyAlignment="1">
      <alignment vertical="center"/>
    </xf>
    <xf numFmtId="0" fontId="4" fillId="0" borderId="0" xfId="0" applyFont="1" applyBorder="1" applyAlignment="1">
      <alignment horizontal="right" vertical="center"/>
    </xf>
    <xf numFmtId="0" fontId="4" fillId="2" borderId="1" xfId="0" applyFont="1" applyFill="1" applyBorder="1" applyAlignment="1">
      <alignment vertical="center"/>
    </xf>
    <xf numFmtId="0" fontId="4" fillId="0" borderId="0" xfId="0" applyFont="1" applyAlignment="1">
      <alignment vertical="center" wrapText="1"/>
    </xf>
    <xf numFmtId="38" fontId="4" fillId="0" borderId="1" xfId="0" applyNumberFormat="1" applyFont="1" applyFill="1" applyBorder="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38" fontId="4" fillId="0" borderId="1" xfId="1" applyFont="1" applyFill="1" applyBorder="1" applyAlignment="1">
      <alignment horizontal="right" vertical="center"/>
    </xf>
    <xf numFmtId="10" fontId="4" fillId="2" borderId="1" xfId="2" applyNumberFormat="1" applyFont="1" applyFill="1" applyBorder="1" applyAlignment="1">
      <alignment horizontal="right" vertical="center"/>
    </xf>
    <xf numFmtId="0" fontId="4" fillId="0" borderId="1" xfId="0" applyFont="1" applyBorder="1" applyAlignment="1">
      <alignment vertical="center"/>
    </xf>
    <xf numFmtId="38" fontId="4" fillId="0" borderId="1" xfId="1" applyFont="1" applyBorder="1" applyAlignment="1">
      <alignment vertical="center"/>
    </xf>
    <xf numFmtId="0" fontId="4" fillId="0" borderId="0" xfId="0" applyFont="1" applyAlignment="1">
      <alignment vertical="center"/>
    </xf>
    <xf numFmtId="0" fontId="5" fillId="0" borderId="0" xfId="0" applyFont="1" applyAlignment="1">
      <alignment horizontal="center" vertical="center" wrapText="1"/>
    </xf>
    <xf numFmtId="0" fontId="0" fillId="0" borderId="0" xfId="0" quotePrefix="1" applyAlignment="1">
      <alignment vertical="center"/>
    </xf>
    <xf numFmtId="38" fontId="4" fillId="0" borderId="0" xfId="1" applyNumberFormat="1" applyFont="1" applyBorder="1" applyAlignment="1">
      <alignment vertical="center"/>
    </xf>
    <xf numFmtId="38" fontId="4" fillId="0" borderId="1" xfId="1" applyNumberFormat="1"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2" borderId="0" xfId="0" applyFont="1" applyFill="1" applyAlignment="1">
      <alignment vertical="center"/>
    </xf>
    <xf numFmtId="0" fontId="4" fillId="0" borderId="0" xfId="0" applyFont="1" applyAlignment="1">
      <alignment horizontal="center" vertical="center"/>
    </xf>
    <xf numFmtId="0" fontId="0" fillId="0" borderId="3" xfId="0"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38" fontId="0" fillId="0" borderId="2" xfId="1" applyFont="1" applyBorder="1" applyAlignment="1">
      <alignment vertical="center"/>
    </xf>
    <xf numFmtId="0" fontId="0" fillId="0" borderId="2" xfId="0" applyBorder="1" applyAlignment="1">
      <alignment horizontal="right" vertical="center"/>
    </xf>
    <xf numFmtId="38" fontId="0" fillId="0" borderId="2" xfId="1" applyFont="1" applyBorder="1" applyAlignment="1">
      <alignment horizontal="center" vertical="center"/>
    </xf>
    <xf numFmtId="40" fontId="0" fillId="0" borderId="2" xfId="1" applyNumberFormat="1" applyFont="1" applyBorder="1" applyAlignment="1">
      <alignment vertical="center"/>
    </xf>
    <xf numFmtId="0" fontId="0" fillId="0" borderId="0" xfId="0" applyBorder="1" applyAlignment="1">
      <alignment vertical="center"/>
    </xf>
    <xf numFmtId="38" fontId="0" fillId="0" borderId="2" xfId="1" applyFont="1"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7"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38" fontId="0" fillId="0" borderId="0" xfId="1" applyFont="1" applyAlignment="1">
      <alignment horizontal="center" vertical="center"/>
    </xf>
    <xf numFmtId="0" fontId="0" fillId="0" borderId="0" xfId="0" applyBorder="1" applyAlignment="1">
      <alignment horizontal="center" vertical="center"/>
    </xf>
    <xf numFmtId="40" fontId="0" fillId="0" borderId="0" xfId="1" applyNumberFormat="1" applyFont="1" applyBorder="1" applyAlignment="1">
      <alignment vertical="center"/>
    </xf>
    <xf numFmtId="40" fontId="4" fillId="0" borderId="1" xfId="1" applyNumberFormat="1" applyFont="1" applyFill="1" applyBorder="1" applyAlignment="1">
      <alignment vertical="center"/>
    </xf>
    <xf numFmtId="0" fontId="0" fillId="0" borderId="0" xfId="0" applyAlignment="1">
      <alignment vertical="center" wrapText="1"/>
    </xf>
    <xf numFmtId="0" fontId="0" fillId="0" borderId="2" xfId="0"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38" fontId="4" fillId="0" borderId="0" xfId="1"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38" fontId="0" fillId="0" borderId="0" xfId="1" applyFont="1" applyBorder="1" applyAlignment="1">
      <alignment horizontal="center" vertical="center"/>
    </xf>
    <xf numFmtId="0" fontId="4" fillId="0" borderId="0" xfId="0" applyFont="1" applyBorder="1" applyAlignment="1">
      <alignment horizontal="center" vertical="center"/>
    </xf>
    <xf numFmtId="3" fontId="0" fillId="0" borderId="2" xfId="0" applyNumberFormat="1" applyBorder="1" applyAlignment="1">
      <alignment vertical="center"/>
    </xf>
    <xf numFmtId="38" fontId="0" fillId="0" borderId="2" xfId="1" applyFont="1" applyBorder="1" applyAlignment="1">
      <alignment horizontal="left" vertical="center"/>
    </xf>
    <xf numFmtId="0" fontId="0" fillId="0" borderId="3"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2" xfId="0" quotePrefix="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38" fontId="4" fillId="0" borderId="0" xfId="0" applyNumberFormat="1" applyFont="1" applyAlignment="1">
      <alignment vertical="center"/>
    </xf>
    <xf numFmtId="38" fontId="4" fillId="2" borderId="1" xfId="1" applyNumberFormat="1" applyFont="1" applyFill="1" applyBorder="1" applyAlignment="1">
      <alignment vertical="center"/>
    </xf>
    <xf numFmtId="38" fontId="4" fillId="0" borderId="1" xfId="1" applyNumberFormat="1" applyFont="1" applyFill="1" applyBorder="1" applyAlignment="1">
      <alignment vertical="center"/>
    </xf>
    <xf numFmtId="40" fontId="4" fillId="2" borderId="1" xfId="1" applyNumberFormat="1" applyFont="1" applyFill="1" applyBorder="1" applyAlignment="1">
      <alignment vertical="center"/>
    </xf>
    <xf numFmtId="38" fontId="4" fillId="0" borderId="1" xfId="2" applyNumberFormat="1" applyFont="1" applyFill="1" applyBorder="1" applyAlignment="1">
      <alignment vertical="center"/>
    </xf>
    <xf numFmtId="0" fontId="4" fillId="3" borderId="0" xfId="0" applyFont="1" applyFill="1" applyAlignment="1">
      <alignment horizontal="center" vertical="center"/>
    </xf>
    <xf numFmtId="38" fontId="4" fillId="0" borderId="1" xfId="2" applyNumberFormat="1" applyFont="1" applyFill="1" applyBorder="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3" borderId="0" xfId="0" applyFont="1" applyFill="1" applyAlignment="1">
      <alignment horizontal="center" vertical="center"/>
    </xf>
    <xf numFmtId="0" fontId="9" fillId="0" borderId="2" xfId="0" applyFont="1" applyBorder="1" applyAlignment="1">
      <alignment vertical="center" wrapText="1"/>
    </xf>
    <xf numFmtId="177" fontId="4" fillId="2" borderId="1" xfId="2" applyNumberFormat="1" applyFont="1" applyFill="1" applyBorder="1" applyAlignment="1">
      <alignment horizontal="right" vertical="center"/>
    </xf>
    <xf numFmtId="0" fontId="4" fillId="0" borderId="0" xfId="0" applyFont="1" applyAlignment="1">
      <alignment vertical="center"/>
    </xf>
    <xf numFmtId="0" fontId="0" fillId="0" borderId="31" xfId="0" applyBorder="1" applyAlignment="1">
      <alignment vertical="center"/>
    </xf>
    <xf numFmtId="20" fontId="0" fillId="0" borderId="0" xfId="0" applyNumberFormat="1" applyAlignment="1">
      <alignment horizontal="center" vertical="center"/>
    </xf>
    <xf numFmtId="0" fontId="4" fillId="3" borderId="0" xfId="0" applyFont="1" applyFill="1" applyAlignment="1">
      <alignment horizontal="center" vertical="center"/>
    </xf>
    <xf numFmtId="38" fontId="0" fillId="0" borderId="2" xfId="1" applyFont="1" applyBorder="1" applyAlignment="1">
      <alignment horizontal="center" vertical="center"/>
    </xf>
    <xf numFmtId="38" fontId="0" fillId="0" borderId="0" xfId="1" applyFont="1" applyBorder="1" applyAlignment="1">
      <alignment horizontal="left" vertical="center"/>
    </xf>
    <xf numFmtId="0" fontId="0" fillId="0" borderId="0" xfId="0" applyFill="1" applyAlignment="1">
      <alignment vertical="center"/>
    </xf>
    <xf numFmtId="3" fontId="12" fillId="0" borderId="0" xfId="0" applyNumberFormat="1" applyFont="1"/>
    <xf numFmtId="38" fontId="13" fillId="0" borderId="2" xfId="1" applyFont="1" applyBorder="1" applyAlignment="1">
      <alignment vertical="center"/>
    </xf>
    <xf numFmtId="3" fontId="14" fillId="0" borderId="0" xfId="0" applyNumberFormat="1" applyFont="1"/>
    <xf numFmtId="38" fontId="16" fillId="0" borderId="2" xfId="1" applyFont="1" applyBorder="1" applyAlignment="1">
      <alignment vertical="center"/>
    </xf>
    <xf numFmtId="38" fontId="16" fillId="0" borderId="2" xfId="1" applyFont="1" applyBorder="1" applyAlignment="1">
      <alignment horizontal="center" vertical="center"/>
    </xf>
    <xf numFmtId="3" fontId="16" fillId="0" borderId="2" xfId="0" applyNumberFormat="1" applyFont="1" applyBorder="1" applyAlignment="1">
      <alignment vertical="center"/>
    </xf>
    <xf numFmtId="3" fontId="9" fillId="0" borderId="0" xfId="0" applyNumberFormat="1" applyFont="1"/>
    <xf numFmtId="0" fontId="0" fillId="0" borderId="3" xfId="0" applyBorder="1" applyAlignment="1">
      <alignment vertical="center" wrapText="1"/>
    </xf>
    <xf numFmtId="38" fontId="0" fillId="0" borderId="2" xfId="1" applyFont="1" applyBorder="1" applyAlignment="1">
      <alignment horizontal="center" vertical="center"/>
    </xf>
    <xf numFmtId="38" fontId="0" fillId="0" borderId="0" xfId="1" applyFont="1" applyBorder="1" applyAlignment="1">
      <alignment vertical="center"/>
    </xf>
    <xf numFmtId="0" fontId="0" fillId="0" borderId="3" xfId="0" applyBorder="1" applyAlignment="1">
      <alignment vertical="center" wrapText="1"/>
    </xf>
    <xf numFmtId="0" fontId="0" fillId="0" borderId="4" xfId="0"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38" fontId="0" fillId="0" borderId="2" xfId="1" applyFont="1" applyBorder="1" applyAlignment="1">
      <alignment horizontal="center" vertical="center"/>
    </xf>
    <xf numFmtId="38" fontId="0" fillId="0" borderId="0" xfId="1" applyFont="1" applyBorder="1" applyAlignment="1">
      <alignment vertical="center"/>
    </xf>
    <xf numFmtId="3" fontId="0" fillId="0" borderId="0" xfId="0" applyNumberFormat="1" applyBorder="1" applyAlignment="1">
      <alignment vertical="center"/>
    </xf>
    <xf numFmtId="3" fontId="15" fillId="0" borderId="0" xfId="0" applyNumberFormat="1" applyFont="1" applyAlignment="1">
      <alignment horizontal="right"/>
    </xf>
    <xf numFmtId="3" fontId="0" fillId="0" borderId="23" xfId="0" applyNumberFormat="1" applyBorder="1" applyAlignment="1">
      <alignment horizontal="right" vertical="center"/>
    </xf>
    <xf numFmtId="3" fontId="0" fillId="0" borderId="22" xfId="0" applyNumberFormat="1" applyBorder="1" applyAlignment="1">
      <alignment horizontal="right" vertical="center"/>
    </xf>
    <xf numFmtId="3" fontId="15" fillId="0" borderId="1" xfId="0" applyNumberFormat="1" applyFont="1" applyBorder="1" applyAlignment="1">
      <alignment horizontal="right" vertical="center" wrapText="1"/>
    </xf>
    <xf numFmtId="3" fontId="0" fillId="0" borderId="13" xfId="0" applyNumberFormat="1" applyBorder="1" applyAlignment="1">
      <alignment horizontal="right" vertical="center"/>
    </xf>
    <xf numFmtId="3" fontId="0" fillId="0" borderId="20" xfId="0" applyNumberFormat="1" applyBorder="1" applyAlignment="1">
      <alignment horizontal="right" vertical="center"/>
    </xf>
    <xf numFmtId="3" fontId="0" fillId="0" borderId="17" xfId="0" applyNumberFormat="1" applyBorder="1" applyAlignment="1">
      <alignment horizontal="right" vertical="center"/>
    </xf>
    <xf numFmtId="38" fontId="0" fillId="0" borderId="0" xfId="1" applyFont="1" applyBorder="1" applyAlignment="1">
      <alignment vertical="center"/>
    </xf>
    <xf numFmtId="38" fontId="0" fillId="0" borderId="2" xfId="1" applyFont="1" applyBorder="1" applyAlignment="1">
      <alignment horizontal="center" vertical="center"/>
    </xf>
    <xf numFmtId="38" fontId="0" fillId="0" borderId="3" xfId="1" applyFont="1" applyBorder="1" applyAlignment="1">
      <alignment vertical="center"/>
    </xf>
    <xf numFmtId="38" fontId="0" fillId="0" borderId="4" xfId="1" applyFont="1" applyBorder="1" applyAlignment="1">
      <alignment vertical="center"/>
    </xf>
    <xf numFmtId="178" fontId="0" fillId="0" borderId="2" xfId="0" applyNumberForma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0" fontId="4" fillId="2" borderId="0" xfId="0" applyFont="1" applyFill="1" applyBorder="1" applyAlignment="1">
      <alignment vertical="center"/>
    </xf>
    <xf numFmtId="38" fontId="0" fillId="0" borderId="3" xfId="1" applyFont="1" applyBorder="1" applyAlignment="1">
      <alignment vertical="center"/>
    </xf>
    <xf numFmtId="38" fontId="0" fillId="0" borderId="4" xfId="1" applyFont="1" applyBorder="1" applyAlignment="1">
      <alignment vertical="center"/>
    </xf>
    <xf numFmtId="38" fontId="0" fillId="0" borderId="0" xfId="1" applyFont="1" applyBorder="1" applyAlignment="1">
      <alignment vertical="center"/>
    </xf>
    <xf numFmtId="38" fontId="0" fillId="0" borderId="2" xfId="1" applyFont="1" applyBorder="1" applyAlignment="1">
      <alignment horizontal="center" vertical="center"/>
    </xf>
    <xf numFmtId="0" fontId="17" fillId="0" borderId="2" xfId="0" applyFont="1" applyBorder="1" applyAlignment="1">
      <alignment vertical="center" wrapText="1"/>
    </xf>
    <xf numFmtId="0" fontId="4" fillId="2"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38" fontId="13" fillId="0" borderId="0" xfId="1" applyFont="1" applyBorder="1" applyAlignment="1">
      <alignment vertical="center"/>
    </xf>
    <xf numFmtId="178" fontId="0" fillId="0" borderId="0" xfId="0" applyNumberFormat="1" applyBorder="1" applyAlignment="1">
      <alignment vertical="center"/>
    </xf>
    <xf numFmtId="38" fontId="4" fillId="4" borderId="1" xfId="1" applyFont="1" applyFill="1" applyBorder="1" applyAlignment="1">
      <alignment vertical="center"/>
    </xf>
    <xf numFmtId="38" fontId="13" fillId="2" borderId="2" xfId="1" applyFont="1" applyFill="1" applyBorder="1" applyAlignment="1">
      <alignment vertical="center"/>
    </xf>
    <xf numFmtId="3" fontId="9" fillId="2" borderId="2" xfId="0" applyNumberFormat="1" applyFont="1" applyFill="1" applyBorder="1"/>
    <xf numFmtId="0" fontId="0" fillId="0" borderId="0" xfId="0" applyAlignment="1">
      <alignment vertical="center" wrapText="1"/>
    </xf>
    <xf numFmtId="0" fontId="0" fillId="0" borderId="3"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5" fillId="2" borderId="0" xfId="0" applyFont="1" applyFill="1" applyAlignment="1">
      <alignment horizontal="left" vertical="center"/>
    </xf>
    <xf numFmtId="0" fontId="4" fillId="0" borderId="0" xfId="0" applyFont="1" applyAlignment="1">
      <alignment horizontal="right" vertical="center"/>
    </xf>
    <xf numFmtId="0" fontId="4" fillId="2" borderId="0" xfId="0" applyFont="1" applyFill="1" applyAlignment="1">
      <alignment horizontal="center"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4" fillId="0" borderId="0" xfId="0" applyFont="1" applyFill="1" applyBorder="1" applyAlignment="1">
      <alignment vertical="center"/>
    </xf>
    <xf numFmtId="176" fontId="4" fillId="2" borderId="0" xfId="0" applyNumberFormat="1" applyFont="1" applyFill="1" applyBorder="1" applyAlignment="1">
      <alignment vertical="center"/>
    </xf>
    <xf numFmtId="176" fontId="4" fillId="2" borderId="0" xfId="0" applyNumberFormat="1" applyFont="1" applyFill="1" applyBorder="1" applyAlignment="1">
      <alignment horizontal="left" vertical="center"/>
    </xf>
    <xf numFmtId="0" fontId="4" fillId="0" borderId="0" xfId="0" applyFont="1" applyBorder="1" applyAlignment="1">
      <alignment vertical="center"/>
    </xf>
    <xf numFmtId="0" fontId="4" fillId="2" borderId="0" xfId="0" applyFont="1" applyFill="1" applyAlignment="1">
      <alignment horizontal="left" vertical="center"/>
    </xf>
    <xf numFmtId="0" fontId="4" fillId="0" borderId="0" xfId="0" applyFont="1" applyAlignment="1">
      <alignment vertical="center"/>
    </xf>
    <xf numFmtId="0" fontId="4" fillId="0" borderId="8" xfId="0" applyFont="1" applyBorder="1" applyAlignment="1">
      <alignment vertical="center"/>
    </xf>
    <xf numFmtId="0" fontId="4" fillId="0" borderId="0" xfId="0" applyFont="1" applyFill="1" applyBorder="1" applyAlignment="1">
      <alignment horizontal="left" vertical="center"/>
    </xf>
    <xf numFmtId="0" fontId="8" fillId="0" borderId="0" xfId="0" applyFont="1" applyBorder="1" applyAlignment="1">
      <alignment vertical="center"/>
    </xf>
    <xf numFmtId="0" fontId="5" fillId="0" borderId="0" xfId="0" applyFont="1" applyAlignment="1">
      <alignment vertical="center"/>
    </xf>
    <xf numFmtId="0" fontId="4" fillId="0" borderId="8" xfId="0" applyFont="1" applyBorder="1" applyAlignment="1">
      <alignment horizontal="right" vertical="center"/>
    </xf>
    <xf numFmtId="0" fontId="4" fillId="2" borderId="0" xfId="0" applyFont="1" applyFill="1" applyAlignment="1">
      <alignment vertical="center"/>
    </xf>
    <xf numFmtId="0" fontId="4" fillId="3" borderId="0" xfId="0" applyFont="1" applyFill="1" applyAlignment="1">
      <alignment horizontal="center" vertical="center"/>
    </xf>
    <xf numFmtId="0" fontId="4" fillId="3" borderId="8" xfId="0" applyFont="1" applyFill="1" applyBorder="1" applyAlignment="1">
      <alignment horizontal="center" vertical="center"/>
    </xf>
    <xf numFmtId="0" fontId="5" fillId="0" borderId="0" xfId="0" applyFont="1" applyAlignment="1">
      <alignment horizontal="left"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5" fillId="0" borderId="0" xfId="0" applyFont="1" applyAlignment="1">
      <alignment vertical="center" wrapText="1"/>
    </xf>
    <xf numFmtId="0" fontId="5" fillId="2" borderId="0" xfId="0" applyFont="1" applyFill="1" applyAlignment="1">
      <alignment vertical="center" wrapText="1"/>
    </xf>
    <xf numFmtId="0" fontId="5" fillId="0" borderId="0" xfId="0" applyFont="1" applyAlignment="1">
      <alignment horizontal="center" vertical="center" wrapText="1"/>
    </xf>
    <xf numFmtId="0" fontId="4" fillId="2" borderId="0" xfId="0" applyFont="1" applyFill="1" applyAlignment="1">
      <alignment vertical="center" wrapText="1"/>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Fill="1" applyBorder="1" applyAlignment="1">
      <alignment vertical="top" wrapText="1"/>
    </xf>
    <xf numFmtId="0" fontId="5" fillId="2" borderId="0" xfId="0" applyFont="1" applyFill="1" applyBorder="1" applyAlignment="1">
      <alignment horizontal="lef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38" fontId="0" fillId="0" borderId="0" xfId="1" applyFont="1" applyBorder="1" applyAlignment="1">
      <alignment vertical="center"/>
    </xf>
    <xf numFmtId="38" fontId="0" fillId="0" borderId="2" xfId="1" applyFont="1" applyBorder="1" applyAlignment="1">
      <alignment horizontal="center" vertical="center"/>
    </xf>
    <xf numFmtId="0" fontId="0" fillId="0" borderId="2" xfId="0" applyBorder="1" applyAlignment="1">
      <alignment horizontal="left" vertical="top" wrapText="1"/>
    </xf>
    <xf numFmtId="0" fontId="0" fillId="0" borderId="2" xfId="0" applyBorder="1" applyAlignment="1">
      <alignment horizontal="left" vertical="top"/>
    </xf>
    <xf numFmtId="38" fontId="0" fillId="0" borderId="3" xfId="1" applyFont="1" applyBorder="1" applyAlignment="1">
      <alignment vertical="center"/>
    </xf>
    <xf numFmtId="38" fontId="0" fillId="0" borderId="4" xfId="1" applyFont="1" applyBorder="1" applyAlignment="1">
      <alignment vertical="center"/>
    </xf>
    <xf numFmtId="0" fontId="0" fillId="5" borderId="3" xfId="0" applyFill="1" applyBorder="1" applyAlignment="1">
      <alignment horizontal="center" vertical="center"/>
    </xf>
    <xf numFmtId="0" fontId="0" fillId="5" borderId="3" xfId="0" applyFill="1" applyBorder="1" applyAlignment="1">
      <alignment vertical="center" wrapText="1"/>
    </xf>
    <xf numFmtId="0" fontId="0" fillId="5" borderId="2" xfId="0" applyFill="1" applyBorder="1" applyAlignment="1">
      <alignment vertical="center" wrapText="1"/>
    </xf>
    <xf numFmtId="0" fontId="0" fillId="5" borderId="2" xfId="0" quotePrefix="1"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vertical="center" wrapText="1"/>
    </xf>
    <xf numFmtId="0" fontId="0" fillId="5" borderId="3" xfId="0" applyFill="1" applyBorder="1" applyAlignment="1">
      <alignment horizontal="center" vertical="top"/>
    </xf>
    <xf numFmtId="0" fontId="0" fillId="5" borderId="3" xfId="0" applyFill="1" applyBorder="1" applyAlignment="1">
      <alignment horizontal="left" vertical="top" wrapText="1"/>
    </xf>
    <xf numFmtId="0" fontId="0" fillId="5" borderId="4" xfId="0" applyFill="1" applyBorder="1" applyAlignment="1">
      <alignment horizontal="center" vertical="top"/>
    </xf>
    <xf numFmtId="0" fontId="0" fillId="5" borderId="4" xfId="0" applyFill="1" applyBorder="1" applyAlignment="1">
      <alignment horizontal="left" vertical="top" wrapText="1"/>
    </xf>
    <xf numFmtId="0" fontId="0" fillId="5" borderId="2" xfId="0" applyFill="1" applyBorder="1" applyAlignment="1">
      <alignment horizontal="center" vertical="center"/>
    </xf>
    <xf numFmtId="0" fontId="19" fillId="5" borderId="26" xfId="0" applyFont="1" applyFill="1" applyBorder="1" applyAlignment="1">
      <alignment vertical="center" wrapText="1"/>
    </xf>
  </cellXfs>
  <cellStyles count="3">
    <cellStyle name="パーセント" xfId="2" builtinId="5"/>
    <cellStyle name="桁区切り" xfId="1" builtinId="6"/>
    <cellStyle name="標準" xfId="0" builtinId="0"/>
  </cellStyles>
  <dxfs count="306">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54"/>
  <sheetViews>
    <sheetView tabSelected="1" view="pageBreakPreview" zoomScaleNormal="100" zoomScaleSheetLayoutView="100" workbookViewId="0">
      <selection activeCell="H60" sqref="H60:H61"/>
    </sheetView>
  </sheetViews>
  <sheetFormatPr defaultRowHeight="13"/>
  <cols>
    <col min="1" max="1" width="3.453125" style="71" bestFit="1" customWidth="1"/>
    <col min="2" max="2" width="40.08984375" style="107" bestFit="1" customWidth="1"/>
    <col min="3" max="3" width="23.08984375" style="107" customWidth="1"/>
    <col min="4" max="4" width="10.453125" style="107" bestFit="1" customWidth="1"/>
    <col min="5" max="5" width="23.36328125" style="107" customWidth="1"/>
    <col min="6" max="6" width="12.90625" bestFit="1" customWidth="1"/>
  </cols>
  <sheetData>
    <row r="1" spans="1:5">
      <c r="A1" s="157" t="s">
        <v>322</v>
      </c>
    </row>
    <row r="2" spans="1:5" ht="33" customHeight="1">
      <c r="A2" s="222" t="s">
        <v>323</v>
      </c>
      <c r="B2" s="222"/>
      <c r="C2" s="222"/>
      <c r="D2" s="222"/>
      <c r="E2" s="222"/>
    </row>
    <row r="3" spans="1:5" ht="22.5" customHeight="1">
      <c r="A3" s="222" t="s">
        <v>324</v>
      </c>
      <c r="B3" s="222"/>
      <c r="C3" s="222"/>
      <c r="D3" s="222"/>
      <c r="E3" s="222"/>
    </row>
    <row r="4" spans="1:5" ht="22.5" customHeight="1">
      <c r="A4" s="222" t="s">
        <v>325</v>
      </c>
      <c r="B4" s="222"/>
      <c r="C4" s="222"/>
      <c r="D4" s="222"/>
      <c r="E4" s="222"/>
    </row>
    <row r="5" spans="1:5" ht="33" customHeight="1">
      <c r="A5" s="222" t="s">
        <v>326</v>
      </c>
      <c r="B5" s="222"/>
      <c r="C5" s="222"/>
      <c r="D5" s="222"/>
      <c r="E5" s="222"/>
    </row>
    <row r="6" spans="1:5" ht="22.5" customHeight="1">
      <c r="A6" s="222" t="s">
        <v>331</v>
      </c>
      <c r="B6" s="222"/>
      <c r="C6" s="222"/>
      <c r="D6" s="222"/>
      <c r="E6" s="222"/>
    </row>
    <row r="7" spans="1:5" ht="22.5" customHeight="1">
      <c r="A7" s="222" t="s">
        <v>332</v>
      </c>
      <c r="B7" s="222"/>
      <c r="C7" s="222"/>
      <c r="D7" s="222"/>
      <c r="E7" s="222"/>
    </row>
    <row r="9" spans="1:5" ht="30" customHeight="1">
      <c r="A9" s="222" t="s">
        <v>333</v>
      </c>
      <c r="B9" s="222"/>
      <c r="C9" s="222"/>
      <c r="D9" s="222"/>
      <c r="E9" s="222"/>
    </row>
    <row r="10" spans="1:5">
      <c r="A10" s="158"/>
    </row>
    <row r="11" spans="1:5">
      <c r="A11" s="157" t="s">
        <v>319</v>
      </c>
      <c r="B11" s="157"/>
      <c r="C11" s="157"/>
      <c r="D11" s="157"/>
      <c r="E11" s="157"/>
    </row>
    <row r="12" spans="1:5">
      <c r="A12" s="226" t="s">
        <v>93</v>
      </c>
      <c r="B12" s="227"/>
      <c r="C12" s="108" t="s">
        <v>94</v>
      </c>
      <c r="D12" s="108" t="s">
        <v>307</v>
      </c>
      <c r="E12" s="108" t="s">
        <v>71</v>
      </c>
    </row>
    <row r="13" spans="1:5">
      <c r="A13" s="72">
        <v>1</v>
      </c>
      <c r="B13" s="74" t="s">
        <v>0</v>
      </c>
      <c r="C13" s="74"/>
      <c r="D13" s="138" t="s">
        <v>223</v>
      </c>
      <c r="E13" s="74"/>
    </row>
    <row r="14" spans="1:5" ht="39">
      <c r="A14" s="72">
        <v>2</v>
      </c>
      <c r="B14" s="74" t="s">
        <v>270</v>
      </c>
      <c r="C14" s="74" t="s">
        <v>73</v>
      </c>
      <c r="D14" s="138" t="s">
        <v>224</v>
      </c>
      <c r="E14" s="74" t="s">
        <v>208</v>
      </c>
    </row>
    <row r="15" spans="1:5">
      <c r="A15" s="72">
        <v>3</v>
      </c>
      <c r="B15" s="74" t="s">
        <v>2</v>
      </c>
      <c r="C15" s="74"/>
      <c r="D15" s="138" t="s">
        <v>225</v>
      </c>
      <c r="E15" s="74"/>
    </row>
    <row r="16" spans="1:5">
      <c r="A16" s="72">
        <v>4</v>
      </c>
      <c r="B16" s="74" t="s">
        <v>3</v>
      </c>
      <c r="C16" s="74"/>
      <c r="D16" s="138" t="s">
        <v>226</v>
      </c>
      <c r="E16" s="74"/>
    </row>
    <row r="17" spans="1:5" ht="26">
      <c r="A17" s="64">
        <v>5</v>
      </c>
      <c r="B17" s="129" t="s">
        <v>4</v>
      </c>
      <c r="C17" s="74" t="s">
        <v>72</v>
      </c>
      <c r="D17" s="138" t="s">
        <v>227</v>
      </c>
      <c r="E17" s="223" t="s">
        <v>207</v>
      </c>
    </row>
    <row r="18" spans="1:5">
      <c r="A18" s="139"/>
      <c r="B18" s="130"/>
      <c r="C18" s="74" t="s">
        <v>23</v>
      </c>
      <c r="D18" s="138" t="s">
        <v>228</v>
      </c>
      <c r="E18" s="224"/>
    </row>
    <row r="19" spans="1:5" ht="26">
      <c r="A19" s="140"/>
      <c r="B19" s="131"/>
      <c r="C19" s="74" t="s">
        <v>77</v>
      </c>
      <c r="D19" s="138" t="s">
        <v>229</v>
      </c>
      <c r="E19" s="225"/>
    </row>
    <row r="20" spans="1:5">
      <c r="A20" s="72">
        <v>6</v>
      </c>
      <c r="B20" s="74" t="s">
        <v>79</v>
      </c>
      <c r="C20" s="74"/>
      <c r="D20" s="138" t="s">
        <v>230</v>
      </c>
      <c r="E20" s="74"/>
    </row>
    <row r="21" spans="1:5">
      <c r="A21" s="72">
        <v>7</v>
      </c>
      <c r="B21" s="74" t="s">
        <v>80</v>
      </c>
      <c r="C21" s="74"/>
      <c r="D21" s="138" t="s">
        <v>231</v>
      </c>
      <c r="E21" s="74"/>
    </row>
    <row r="22" spans="1:5">
      <c r="A22" s="72">
        <v>8</v>
      </c>
      <c r="B22" s="74" t="s">
        <v>6</v>
      </c>
      <c r="C22" s="74"/>
      <c r="D22" s="138" t="s">
        <v>232</v>
      </c>
      <c r="E22" s="154"/>
    </row>
    <row r="23" spans="1:5">
      <c r="A23" s="72">
        <v>9</v>
      </c>
      <c r="B23" s="74" t="s">
        <v>7</v>
      </c>
      <c r="C23" s="74"/>
      <c r="D23" s="138" t="s">
        <v>233</v>
      </c>
      <c r="E23" s="74"/>
    </row>
    <row r="24" spans="1:5">
      <c r="A24" s="72">
        <v>10</v>
      </c>
      <c r="B24" s="74" t="s">
        <v>8</v>
      </c>
      <c r="C24" s="74"/>
      <c r="D24" s="138" t="s">
        <v>234</v>
      </c>
      <c r="E24" s="74"/>
    </row>
    <row r="25" spans="1:5" ht="39">
      <c r="A25" s="72">
        <v>11</v>
      </c>
      <c r="B25" s="74" t="s">
        <v>9</v>
      </c>
      <c r="C25" s="74"/>
      <c r="D25" s="138" t="s">
        <v>235</v>
      </c>
      <c r="E25" s="74" t="s">
        <v>252</v>
      </c>
    </row>
    <row r="26" spans="1:5">
      <c r="A26" s="64">
        <v>12</v>
      </c>
      <c r="B26" s="129" t="s">
        <v>10</v>
      </c>
      <c r="C26" s="74" t="s">
        <v>112</v>
      </c>
      <c r="D26" s="138" t="s">
        <v>236</v>
      </c>
      <c r="E26" s="223" t="s">
        <v>209</v>
      </c>
    </row>
    <row r="27" spans="1:5">
      <c r="A27" s="140"/>
      <c r="B27" s="131"/>
      <c r="C27" s="74" t="s">
        <v>113</v>
      </c>
      <c r="D27" s="138" t="s">
        <v>237</v>
      </c>
      <c r="E27" s="225"/>
    </row>
    <row r="28" spans="1:5">
      <c r="A28" s="64">
        <v>13</v>
      </c>
      <c r="B28" s="129" t="s">
        <v>11</v>
      </c>
      <c r="C28" s="74" t="s">
        <v>341</v>
      </c>
      <c r="D28" s="138" t="s">
        <v>238</v>
      </c>
      <c r="E28" s="74"/>
    </row>
    <row r="29" spans="1:5" ht="26">
      <c r="A29" s="139"/>
      <c r="B29" s="130"/>
      <c r="C29" s="74" t="s">
        <v>353</v>
      </c>
      <c r="D29" s="138" t="s">
        <v>239</v>
      </c>
      <c r="E29" s="74"/>
    </row>
    <row r="30" spans="1:5">
      <c r="A30" s="139"/>
      <c r="B30" s="130"/>
      <c r="C30" s="74" t="s">
        <v>354</v>
      </c>
      <c r="D30" s="138" t="s">
        <v>240</v>
      </c>
      <c r="E30" s="74"/>
    </row>
    <row r="31" spans="1:5" ht="26">
      <c r="A31" s="139"/>
      <c r="B31" s="130"/>
      <c r="C31" s="74" t="s">
        <v>355</v>
      </c>
      <c r="D31" s="138" t="s">
        <v>241</v>
      </c>
      <c r="E31" s="74"/>
    </row>
    <row r="32" spans="1:5" ht="26">
      <c r="A32" s="139"/>
      <c r="B32" s="130"/>
      <c r="C32" s="74" t="s">
        <v>356</v>
      </c>
      <c r="D32" s="138" t="s">
        <v>242</v>
      </c>
      <c r="E32" s="74"/>
    </row>
    <row r="33" spans="1:6">
      <c r="A33" s="64">
        <v>14</v>
      </c>
      <c r="B33" s="173" t="s">
        <v>12</v>
      </c>
      <c r="C33" s="74" t="s">
        <v>24</v>
      </c>
      <c r="D33" s="138" t="s">
        <v>342</v>
      </c>
      <c r="E33" s="74"/>
    </row>
    <row r="34" spans="1:6">
      <c r="A34" s="140"/>
      <c r="B34" s="174"/>
      <c r="C34" s="74" t="s">
        <v>395</v>
      </c>
      <c r="D34" s="138" t="s">
        <v>396</v>
      </c>
      <c r="E34" s="74"/>
    </row>
    <row r="35" spans="1:6">
      <c r="A35" s="272">
        <v>15</v>
      </c>
      <c r="B35" s="273" t="s">
        <v>13</v>
      </c>
      <c r="C35" s="274" t="s">
        <v>24</v>
      </c>
      <c r="D35" s="275" t="s">
        <v>342</v>
      </c>
      <c r="E35" s="274"/>
      <c r="F35" s="283" t="s">
        <v>414</v>
      </c>
    </row>
    <row r="36" spans="1:6">
      <c r="A36" s="276"/>
      <c r="B36" s="277"/>
      <c r="C36" s="274" t="s">
        <v>395</v>
      </c>
      <c r="D36" s="275" t="s">
        <v>396</v>
      </c>
      <c r="E36" s="274"/>
      <c r="F36" s="283" t="s">
        <v>414</v>
      </c>
    </row>
    <row r="37" spans="1:6">
      <c r="A37" s="278">
        <v>16</v>
      </c>
      <c r="B37" s="279" t="s">
        <v>372</v>
      </c>
      <c r="C37" s="274" t="s">
        <v>24</v>
      </c>
      <c r="D37" s="275" t="s">
        <v>406</v>
      </c>
      <c r="E37" s="274"/>
      <c r="F37" s="283" t="s">
        <v>414</v>
      </c>
    </row>
    <row r="38" spans="1:6">
      <c r="A38" s="280"/>
      <c r="B38" s="281"/>
      <c r="C38" s="274" t="s">
        <v>395</v>
      </c>
      <c r="D38" s="275" t="s">
        <v>407</v>
      </c>
      <c r="E38" s="274"/>
      <c r="F38" s="283" t="s">
        <v>414</v>
      </c>
    </row>
    <row r="39" spans="1:6">
      <c r="A39" s="64">
        <v>16</v>
      </c>
      <c r="B39" s="170" t="s">
        <v>372</v>
      </c>
      <c r="C39" s="74"/>
      <c r="D39" s="138" t="s">
        <v>343</v>
      </c>
      <c r="E39" s="74"/>
    </row>
    <row r="40" spans="1:6">
      <c r="A40" s="72">
        <v>17</v>
      </c>
      <c r="B40" s="74" t="s">
        <v>14</v>
      </c>
      <c r="C40" s="74"/>
      <c r="D40" s="138" t="s">
        <v>383</v>
      </c>
      <c r="E40" s="74"/>
    </row>
    <row r="41" spans="1:6">
      <c r="A41" s="72">
        <v>18</v>
      </c>
      <c r="B41" s="74" t="s">
        <v>15</v>
      </c>
      <c r="C41" s="74"/>
      <c r="D41" s="138" t="s">
        <v>384</v>
      </c>
      <c r="E41" s="74"/>
    </row>
    <row r="42" spans="1:6">
      <c r="A42" s="72">
        <v>19</v>
      </c>
      <c r="B42" s="74" t="s">
        <v>16</v>
      </c>
      <c r="C42" s="74"/>
      <c r="D42" s="138" t="s">
        <v>385</v>
      </c>
      <c r="E42" s="74"/>
    </row>
    <row r="43" spans="1:6">
      <c r="A43" s="72">
        <v>20</v>
      </c>
      <c r="B43" s="74" t="s">
        <v>17</v>
      </c>
      <c r="C43" s="74"/>
      <c r="D43" s="138" t="s">
        <v>386</v>
      </c>
      <c r="E43" s="74"/>
    </row>
    <row r="44" spans="1:6" ht="24">
      <c r="A44" s="72">
        <v>21</v>
      </c>
      <c r="B44" s="74" t="s">
        <v>268</v>
      </c>
      <c r="C44" s="74"/>
      <c r="D44" s="138"/>
      <c r="E44" s="209" t="s">
        <v>400</v>
      </c>
    </row>
    <row r="45" spans="1:6">
      <c r="A45" s="72">
        <v>22</v>
      </c>
      <c r="B45" s="74" t="s">
        <v>401</v>
      </c>
      <c r="C45" s="74"/>
      <c r="D45" s="138" t="s">
        <v>377</v>
      </c>
      <c r="E45" s="74"/>
    </row>
    <row r="46" spans="1:6">
      <c r="A46" s="282">
        <v>23</v>
      </c>
      <c r="B46" s="274" t="s">
        <v>18</v>
      </c>
      <c r="C46" s="274"/>
      <c r="D46" s="275" t="s">
        <v>378</v>
      </c>
      <c r="E46" s="274"/>
      <c r="F46" s="283" t="s">
        <v>414</v>
      </c>
    </row>
    <row r="47" spans="1:6">
      <c r="A47" s="72">
        <v>24</v>
      </c>
      <c r="B47" s="74" t="s">
        <v>19</v>
      </c>
      <c r="C47" s="74"/>
      <c r="D47" s="138" t="s">
        <v>379</v>
      </c>
      <c r="E47" s="74"/>
    </row>
    <row r="48" spans="1:6">
      <c r="A48" s="72">
        <v>25</v>
      </c>
      <c r="B48" s="74" t="s">
        <v>20</v>
      </c>
      <c r="C48" s="74"/>
      <c r="D48" s="138" t="s">
        <v>380</v>
      </c>
      <c r="E48" s="74"/>
    </row>
    <row r="49" spans="1:6">
      <c r="A49" s="72">
        <v>26</v>
      </c>
      <c r="B49" s="74" t="s">
        <v>21</v>
      </c>
      <c r="C49" s="74"/>
      <c r="D49" s="138" t="s">
        <v>381</v>
      </c>
      <c r="E49" s="74"/>
    </row>
    <row r="50" spans="1:6">
      <c r="A50" s="72">
        <v>27</v>
      </c>
      <c r="B50" s="74" t="s">
        <v>22</v>
      </c>
      <c r="C50" s="74"/>
      <c r="D50" s="138" t="s">
        <v>382</v>
      </c>
      <c r="E50" s="74"/>
    </row>
    <row r="51" spans="1:6" ht="26">
      <c r="A51" s="72">
        <v>28</v>
      </c>
      <c r="B51" s="74" t="s">
        <v>321</v>
      </c>
      <c r="C51" s="74"/>
      <c r="D51" s="138" t="s">
        <v>375</v>
      </c>
      <c r="E51" s="74"/>
    </row>
    <row r="52" spans="1:6">
      <c r="A52" s="72">
        <v>29</v>
      </c>
      <c r="B52" s="74" t="s">
        <v>320</v>
      </c>
      <c r="C52" s="74"/>
      <c r="D52" s="138" t="s">
        <v>376</v>
      </c>
      <c r="E52" s="74"/>
    </row>
    <row r="53" spans="1:6">
      <c r="A53" s="282">
        <v>30</v>
      </c>
      <c r="B53" s="274" t="s">
        <v>373</v>
      </c>
      <c r="C53" s="274"/>
      <c r="D53" s="275" t="s">
        <v>396</v>
      </c>
      <c r="E53" s="274"/>
      <c r="F53" s="283" t="s">
        <v>414</v>
      </c>
    </row>
    <row r="54" spans="1:6">
      <c r="A54" s="282">
        <v>31</v>
      </c>
      <c r="B54" s="274" t="s">
        <v>374</v>
      </c>
      <c r="C54" s="274"/>
      <c r="D54" s="275" t="s">
        <v>405</v>
      </c>
      <c r="E54" s="274"/>
      <c r="F54" s="283" t="s">
        <v>414</v>
      </c>
    </row>
  </sheetData>
  <mergeCells count="12">
    <mergeCell ref="A37:A38"/>
    <mergeCell ref="B37:B38"/>
    <mergeCell ref="E17:E19"/>
    <mergeCell ref="E26:E27"/>
    <mergeCell ref="A12:B12"/>
    <mergeCell ref="A7:E7"/>
    <mergeCell ref="A9:E9"/>
    <mergeCell ref="A2:E2"/>
    <mergeCell ref="A3:E3"/>
    <mergeCell ref="A4:E4"/>
    <mergeCell ref="A5:E5"/>
    <mergeCell ref="A6:E6"/>
  </mergeCells>
  <phoneticPr fontId="1"/>
  <pageMargins left="0.7" right="0.7" top="0.75" bottom="0.75" header="0.3" footer="0.3"/>
  <pageSetup paperSize="9" scale="87" fitToHeight="0" orientation="portrait" r:id="rId1"/>
  <rowBreaks count="1" manualBreakCount="1">
    <brk id="1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71"/>
  <sheetViews>
    <sheetView view="pageBreakPreview" zoomScale="85" zoomScaleNormal="85" zoomScaleSheetLayoutView="85" workbookViewId="0">
      <selection activeCell="C25" sqref="C25:G25"/>
    </sheetView>
  </sheetViews>
  <sheetFormatPr defaultColWidth="9" defaultRowHeight="13"/>
  <cols>
    <col min="1" max="1" width="1.26953125" style="2" customWidth="1"/>
    <col min="2" max="2" width="13.9062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233" t="s">
        <v>38</v>
      </c>
      <c r="G1" s="233"/>
      <c r="H1" s="233"/>
      <c r="I1" s="233"/>
    </row>
    <row r="2" spans="2:9" ht="40.5" customHeight="1">
      <c r="B2" s="234" t="s">
        <v>327</v>
      </c>
      <c r="C2" s="234"/>
      <c r="D2" s="234"/>
      <c r="E2" s="234"/>
      <c r="F2" s="234"/>
      <c r="G2" s="234"/>
      <c r="H2" s="234"/>
      <c r="I2" s="234"/>
    </row>
    <row r="3" spans="2:9" ht="18.75" customHeight="1">
      <c r="B3" s="3"/>
      <c r="C3" s="3"/>
      <c r="D3" s="3"/>
      <c r="E3" s="3"/>
      <c r="F3" s="3"/>
      <c r="G3" s="33"/>
      <c r="H3" s="3"/>
      <c r="I3" s="4"/>
    </row>
    <row r="4" spans="2:9" ht="18.75" customHeight="1">
      <c r="B4" s="9" t="s">
        <v>32</v>
      </c>
      <c r="C4" s="237"/>
      <c r="D4" s="237"/>
      <c r="E4" s="10"/>
      <c r="F4" s="10"/>
      <c r="G4" s="10"/>
      <c r="H4" s="10"/>
      <c r="I4" s="10"/>
    </row>
    <row r="5" spans="2:9" ht="18.75" customHeight="1">
      <c r="B5" s="9" t="s">
        <v>30</v>
      </c>
      <c r="C5" s="236"/>
      <c r="D5" s="236"/>
      <c r="E5" s="236"/>
      <c r="F5" s="5"/>
      <c r="G5" s="30"/>
      <c r="H5" s="5"/>
      <c r="I5" s="5"/>
    </row>
    <row r="6" spans="2:9" ht="18.75" customHeight="1">
      <c r="B6" s="9" t="s">
        <v>29</v>
      </c>
      <c r="C6" s="235" t="s">
        <v>81</v>
      </c>
      <c r="D6" s="235"/>
      <c r="E6" s="235"/>
      <c r="F6" s="235"/>
      <c r="G6" s="235"/>
      <c r="H6" s="235"/>
      <c r="I6" s="235"/>
    </row>
    <row r="7" spans="2:9" ht="18.75" customHeight="1" thickBot="1"/>
    <row r="8" spans="2:9" ht="18.75" customHeight="1" thickBot="1">
      <c r="C8" s="228" t="s">
        <v>27</v>
      </c>
      <c r="D8" s="228"/>
      <c r="E8" s="228"/>
      <c r="F8" s="228"/>
      <c r="G8" s="228"/>
      <c r="H8" s="228"/>
      <c r="I8" s="14">
        <f>'DB（削除禁止）'!AG4</f>
        <v>300</v>
      </c>
    </row>
    <row r="9" spans="2:9" ht="18.75" customHeight="1" thickBot="1">
      <c r="C9" s="29"/>
      <c r="D9" s="29"/>
      <c r="E9" s="29"/>
      <c r="F9" s="29"/>
      <c r="H9" s="29"/>
    </row>
    <row r="10" spans="2:9" ht="18.75" customHeight="1" thickBot="1">
      <c r="C10" s="228" t="s">
        <v>28</v>
      </c>
      <c r="D10" s="228"/>
      <c r="E10" s="228"/>
      <c r="F10" s="228"/>
      <c r="G10" s="228"/>
      <c r="H10" s="228"/>
      <c r="I10" s="142"/>
    </row>
    <row r="11" spans="2:9" ht="18.75" customHeight="1" thickBot="1">
      <c r="C11" s="29"/>
      <c r="D11" s="29"/>
      <c r="E11" s="29"/>
      <c r="F11" s="29"/>
      <c r="H11" s="29"/>
    </row>
    <row r="12" spans="2:9" ht="18.75" customHeight="1" thickBot="1">
      <c r="C12" s="228" t="s">
        <v>40</v>
      </c>
      <c r="D12" s="228"/>
      <c r="E12" s="228"/>
      <c r="F12" s="228"/>
      <c r="G12" s="228"/>
      <c r="H12" s="228"/>
      <c r="I12" s="143" t="str">
        <f>IF(I10="","",MIN(I8,I10))</f>
        <v/>
      </c>
    </row>
    <row r="13" spans="2:9" ht="18.75" customHeight="1" thickBot="1">
      <c r="C13" s="29"/>
      <c r="D13" s="29"/>
      <c r="E13" s="29"/>
      <c r="F13" s="29"/>
      <c r="H13" s="29"/>
      <c r="I13" s="2"/>
    </row>
    <row r="14" spans="2:9" ht="18.75" customHeight="1" thickBot="1">
      <c r="C14" s="228" t="s">
        <v>41</v>
      </c>
      <c r="D14" s="228"/>
      <c r="E14" s="228"/>
      <c r="F14" s="228"/>
      <c r="G14" s="228"/>
      <c r="H14" s="228"/>
      <c r="I14" s="8"/>
    </row>
    <row r="15" spans="2:9" ht="18.75" customHeight="1" thickBot="1">
      <c r="C15" s="29"/>
      <c r="D15" s="29"/>
      <c r="E15" s="29"/>
      <c r="F15" s="29"/>
      <c r="H15" s="29"/>
    </row>
    <row r="16" spans="2:9" ht="18.75" customHeight="1" thickBot="1">
      <c r="C16" s="240" t="s">
        <v>108</v>
      </c>
      <c r="D16" s="240"/>
      <c r="E16" s="240"/>
      <c r="F16" s="240"/>
      <c r="G16" s="240"/>
      <c r="H16" s="146" t="s">
        <v>42</v>
      </c>
      <c r="I16" s="143" t="e">
        <f>ROUND(I12*I14,2)</f>
        <v>#VALUE!</v>
      </c>
    </row>
    <row r="17" spans="1:10" ht="18.75" customHeight="1" thickBot="1">
      <c r="C17" s="29"/>
      <c r="D17" s="29"/>
      <c r="E17" s="29"/>
      <c r="F17" s="29"/>
      <c r="H17" s="29"/>
    </row>
    <row r="18" spans="1:10" ht="18.75" customHeight="1" thickBot="1">
      <c r="C18" s="228" t="s">
        <v>98</v>
      </c>
      <c r="D18" s="228"/>
      <c r="E18" s="228"/>
      <c r="F18" s="228"/>
      <c r="G18" s="228"/>
      <c r="H18" s="228"/>
      <c r="I18" s="14" t="str">
        <f>IF(E19="","",VLOOKUP(E19,'DB別表3（削除禁止）'!D12:F14,3,FALSE))</f>
        <v/>
      </c>
      <c r="J18" s="60"/>
    </row>
    <row r="19" spans="1:10" s="60" customFormat="1" ht="18.75" customHeight="1">
      <c r="C19" s="231" t="s">
        <v>205</v>
      </c>
      <c r="D19" s="231"/>
      <c r="E19" s="232"/>
      <c r="F19" s="232"/>
      <c r="H19" s="57"/>
    </row>
    <row r="20" spans="1:10" ht="18.75" customHeight="1" thickBot="1">
      <c r="C20" s="29"/>
      <c r="D20" s="29"/>
      <c r="E20" s="29"/>
      <c r="F20" s="29"/>
      <c r="H20" s="29"/>
    </row>
    <row r="21" spans="1:10" ht="18.75" customHeight="1" thickBot="1">
      <c r="C21" s="228" t="s">
        <v>99</v>
      </c>
      <c r="D21" s="228"/>
      <c r="E21" s="228"/>
      <c r="F21" s="228"/>
      <c r="G21" s="228"/>
      <c r="H21" s="228"/>
      <c r="I21" s="142"/>
    </row>
    <row r="22" spans="1:10" ht="18.75" customHeight="1" thickBot="1">
      <c r="C22" s="29"/>
      <c r="D22" s="29"/>
      <c r="E22" s="29"/>
      <c r="F22" s="29"/>
      <c r="H22" s="29"/>
    </row>
    <row r="23" spans="1:10" ht="18.75" customHeight="1" thickBot="1">
      <c r="C23" s="228" t="s">
        <v>100</v>
      </c>
      <c r="D23" s="228"/>
      <c r="E23" s="228"/>
      <c r="F23" s="228"/>
      <c r="G23" s="228"/>
      <c r="H23" s="146" t="s">
        <v>43</v>
      </c>
      <c r="I23" s="143" t="str">
        <f>IF(OR(I18="",I21=""),"",MIN(I18,I21))</f>
        <v/>
      </c>
    </row>
    <row r="24" spans="1:10" ht="18.75" customHeight="1" thickBot="1">
      <c r="C24" s="29"/>
      <c r="D24" s="29"/>
      <c r="E24" s="29"/>
      <c r="F24" s="29"/>
      <c r="H24" s="29"/>
    </row>
    <row r="25" spans="1:10" ht="18.75" customHeight="1" thickBot="1">
      <c r="C25" s="240" t="s">
        <v>107</v>
      </c>
      <c r="D25" s="240"/>
      <c r="E25" s="240"/>
      <c r="F25" s="240"/>
      <c r="G25" s="240"/>
      <c r="H25" s="146" t="s">
        <v>33</v>
      </c>
      <c r="I25" s="145" t="e">
        <f>ROUND(I16*I23,0)</f>
        <v>#VALUE!</v>
      </c>
    </row>
    <row r="26" spans="1:10" ht="18.75" customHeight="1">
      <c r="B26" s="229"/>
      <c r="C26" s="229"/>
      <c r="D26" s="229"/>
      <c r="E26" s="229"/>
    </row>
    <row r="27" spans="1:10" s="29" customFormat="1" ht="18.75" customHeight="1">
      <c r="B27" s="24"/>
      <c r="C27" s="24"/>
      <c r="D27" s="24"/>
      <c r="E27" s="24"/>
      <c r="I27" s="6"/>
    </row>
    <row r="28" spans="1:10" ht="18.75" customHeight="1">
      <c r="B28" s="238" t="s">
        <v>137</v>
      </c>
      <c r="C28" s="238"/>
      <c r="D28" s="238"/>
      <c r="E28" s="238"/>
      <c r="F28" s="238"/>
      <c r="G28" s="238"/>
      <c r="H28" s="238"/>
      <c r="I28" s="238"/>
    </row>
    <row r="29" spans="1:10" ht="18.75" customHeight="1">
      <c r="A29" s="2" t="s">
        <v>34</v>
      </c>
      <c r="B29" s="238" t="s">
        <v>138</v>
      </c>
      <c r="C29" s="238"/>
      <c r="D29" s="238"/>
      <c r="E29" s="238"/>
      <c r="F29" s="238"/>
      <c r="G29" s="238"/>
      <c r="H29" s="238"/>
      <c r="I29" s="238"/>
    </row>
    <row r="30" spans="1:10" ht="18.75" customHeight="1">
      <c r="B30" s="3"/>
      <c r="C30" s="3"/>
      <c r="D30" s="3"/>
      <c r="E30" s="3"/>
      <c r="F30" s="3"/>
      <c r="G30" s="33"/>
      <c r="H30" s="3"/>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B26:E26"/>
    <mergeCell ref="B28:I28"/>
    <mergeCell ref="B29:I29"/>
    <mergeCell ref="C10:H10"/>
    <mergeCell ref="C12:H12"/>
    <mergeCell ref="C14:H14"/>
    <mergeCell ref="C18:H18"/>
    <mergeCell ref="C21:H21"/>
    <mergeCell ref="C19:D19"/>
    <mergeCell ref="E19:F19"/>
    <mergeCell ref="C8:H8"/>
    <mergeCell ref="C16:G16"/>
    <mergeCell ref="C23:G23"/>
    <mergeCell ref="C25:G25"/>
    <mergeCell ref="F1:I1"/>
    <mergeCell ref="B2:I2"/>
    <mergeCell ref="C4:D4"/>
    <mergeCell ref="C5:E5"/>
    <mergeCell ref="C6:I6"/>
  </mergeCells>
  <phoneticPr fontId="1"/>
  <conditionalFormatting sqref="I10">
    <cfRule type="expression" dxfId="255" priority="9">
      <formula>IF(RIGHT(TEXT($I10,"0.#"),1)=".",FALSE,TRUE)</formula>
    </cfRule>
    <cfRule type="expression" dxfId="254" priority="10">
      <formula>IF(RIGHT(TEXT($I10,"0.#"),1)=".",TRUE,FALSE)</formula>
    </cfRule>
  </conditionalFormatting>
  <conditionalFormatting sqref="I12">
    <cfRule type="expression" dxfId="253" priority="7">
      <formula>IF(RIGHT(TEXT($I12,"0.#"),1)=".",FALSE,TRUE)</formula>
    </cfRule>
    <cfRule type="expression" dxfId="252" priority="8">
      <formula>IF(RIGHT(TEXT($I12,"0.#"),1)=".",TRUE,FALSE)</formula>
    </cfRule>
  </conditionalFormatting>
  <conditionalFormatting sqref="I16">
    <cfRule type="expression" dxfId="251" priority="5">
      <formula>IF(RIGHT(TEXT($I16,"0.#"),1)=".",FALSE,TRUE)</formula>
    </cfRule>
    <cfRule type="expression" dxfId="250" priority="6">
      <formula>IF(RIGHT(TEXT($I16,"0.#"),1)=".",TRUE,FALSE)</formula>
    </cfRule>
  </conditionalFormatting>
  <conditionalFormatting sqref="I21">
    <cfRule type="expression" dxfId="249" priority="3">
      <formula>IF(RIGHT(TEXT($I21,"0.#"),1)=".",FALSE,TRUE)</formula>
    </cfRule>
    <cfRule type="expression" dxfId="248" priority="4">
      <formula>IF(RIGHT(TEXT($I21,"0.#"),1)=".",TRUE,FALSE)</formula>
    </cfRule>
  </conditionalFormatting>
  <conditionalFormatting sqref="I23">
    <cfRule type="expression" dxfId="247" priority="1">
      <formula>IF(RIGHT(TEXT($I23,"0.#"),1)=".",FALSE,TRUE)</formula>
    </cfRule>
    <cfRule type="expression" dxfId="246"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'DB別表3（削除禁止）'!$D$12:$D$14</xm:f>
          </x14:formula1>
          <xm:sqref>E19:F19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71"/>
  <sheetViews>
    <sheetView view="pageBreakPreview" zoomScale="85" zoomScaleNormal="85" zoomScaleSheetLayoutView="85" workbookViewId="0">
      <selection activeCell="C25" sqref="C25:G25"/>
    </sheetView>
  </sheetViews>
  <sheetFormatPr defaultColWidth="9" defaultRowHeight="13"/>
  <cols>
    <col min="1" max="1" width="1.26953125" style="2" customWidth="1"/>
    <col min="2" max="2" width="13.9062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10" ht="18.75" customHeight="1">
      <c r="F1" s="233" t="s">
        <v>38</v>
      </c>
      <c r="G1" s="233"/>
      <c r="H1" s="233"/>
      <c r="I1" s="233"/>
    </row>
    <row r="2" spans="2:10" ht="40.5" customHeight="1">
      <c r="B2" s="234" t="s">
        <v>327</v>
      </c>
      <c r="C2" s="234"/>
      <c r="D2" s="234"/>
      <c r="E2" s="234"/>
      <c r="F2" s="234"/>
      <c r="G2" s="234"/>
      <c r="H2" s="234"/>
      <c r="I2" s="234"/>
    </row>
    <row r="3" spans="2:10" ht="18.75" customHeight="1">
      <c r="B3" s="3"/>
      <c r="C3" s="3"/>
      <c r="D3" s="3"/>
      <c r="E3" s="3"/>
      <c r="F3" s="3"/>
      <c r="G3" s="33"/>
      <c r="H3" s="3"/>
      <c r="I3" s="4"/>
    </row>
    <row r="4" spans="2:10" ht="18.75" customHeight="1">
      <c r="B4" s="9" t="s">
        <v>32</v>
      </c>
      <c r="C4" s="237"/>
      <c r="D4" s="237"/>
      <c r="E4" s="10"/>
      <c r="F4" s="10"/>
      <c r="G4" s="10"/>
      <c r="H4" s="10"/>
      <c r="I4" s="10"/>
    </row>
    <row r="5" spans="2:10" ht="18.75" customHeight="1">
      <c r="B5" s="9" t="s">
        <v>30</v>
      </c>
      <c r="C5" s="236"/>
      <c r="D5" s="236"/>
      <c r="E5" s="236"/>
      <c r="F5" s="5"/>
      <c r="G5" s="30"/>
      <c r="H5" s="5"/>
      <c r="I5" s="5"/>
    </row>
    <row r="6" spans="2:10" ht="18.75" customHeight="1">
      <c r="B6" s="9" t="s">
        <v>29</v>
      </c>
      <c r="C6" s="235" t="s">
        <v>82</v>
      </c>
      <c r="D6" s="235"/>
      <c r="E6" s="235"/>
      <c r="F6" s="235"/>
      <c r="G6" s="235"/>
      <c r="H6" s="235"/>
      <c r="I6" s="235"/>
    </row>
    <row r="7" spans="2:10" ht="18.75" customHeight="1" thickBot="1"/>
    <row r="8" spans="2:10" ht="18.75" customHeight="1" thickBot="1">
      <c r="C8" s="228" t="str">
        <f>"１．交付要綱別表2第2欄に定める基準面積（"&amp;'DB（削除禁止）'!AK4&amp;"㎡／床）"</f>
        <v>１．交付要綱別表2第2欄に定める基準面積（20㎡／床）</v>
      </c>
      <c r="D8" s="228"/>
      <c r="E8" s="228"/>
      <c r="F8" s="228"/>
      <c r="G8" s="228"/>
      <c r="H8" s="228"/>
      <c r="I8" s="14">
        <f>F9*'DB（削除禁止）'!AK4</f>
        <v>0</v>
      </c>
    </row>
    <row r="9" spans="2:10" ht="18.75" customHeight="1" thickBot="1">
      <c r="C9" s="231" t="s">
        <v>83</v>
      </c>
      <c r="D9" s="231"/>
      <c r="E9" s="245"/>
      <c r="F9" s="31"/>
      <c r="G9" s="23"/>
      <c r="H9" s="18"/>
      <c r="I9" s="2"/>
      <c r="J9" s="16"/>
    </row>
    <row r="10" spans="2:10" ht="18.75" customHeight="1" thickBot="1">
      <c r="C10" s="21"/>
      <c r="D10" s="21"/>
      <c r="E10" s="18"/>
      <c r="F10" s="18"/>
      <c r="G10" s="23"/>
      <c r="H10" s="18"/>
      <c r="I10" s="2"/>
      <c r="J10" s="16"/>
    </row>
    <row r="11" spans="2:10" ht="18.75" customHeight="1" thickBot="1">
      <c r="C11" s="228" t="s">
        <v>28</v>
      </c>
      <c r="D11" s="228"/>
      <c r="E11" s="228"/>
      <c r="F11" s="228"/>
      <c r="G11" s="228"/>
      <c r="H11" s="228"/>
      <c r="I11" s="142"/>
    </row>
    <row r="12" spans="2:10" ht="18.75" customHeight="1" thickBot="1"/>
    <row r="13" spans="2:10" ht="18.75" customHeight="1" thickBot="1">
      <c r="C13" s="228" t="s">
        <v>40</v>
      </c>
      <c r="D13" s="228"/>
      <c r="E13" s="228"/>
      <c r="F13" s="228"/>
      <c r="G13" s="228"/>
      <c r="H13" s="228"/>
      <c r="I13" s="143" t="str">
        <f>IF(OR(I8="",I11=""),"",MIN(I8,I11))</f>
        <v/>
      </c>
    </row>
    <row r="14" spans="2:10" ht="18.75" customHeight="1" thickBot="1">
      <c r="I14" s="2"/>
    </row>
    <row r="15" spans="2:10" ht="18.75" customHeight="1" thickBot="1">
      <c r="C15" s="228" t="s">
        <v>41</v>
      </c>
      <c r="D15" s="228"/>
      <c r="E15" s="228"/>
      <c r="F15" s="228"/>
      <c r="G15" s="228"/>
      <c r="H15" s="228"/>
      <c r="I15" s="8"/>
    </row>
    <row r="16" spans="2:10" ht="18.75" customHeight="1" thickBot="1">
      <c r="C16" s="29"/>
      <c r="D16" s="29"/>
      <c r="E16" s="29"/>
      <c r="F16" s="29"/>
      <c r="H16" s="29"/>
    </row>
    <row r="17" spans="1:9" ht="18.75" customHeight="1" thickBot="1">
      <c r="C17" s="240" t="s">
        <v>108</v>
      </c>
      <c r="D17" s="240"/>
      <c r="E17" s="240"/>
      <c r="F17" s="240"/>
      <c r="G17" s="240"/>
      <c r="H17" s="146" t="s">
        <v>42</v>
      </c>
      <c r="I17" s="143" t="e">
        <f>ROUND(I13*I15,2)</f>
        <v>#VALUE!</v>
      </c>
    </row>
    <row r="18" spans="1:9" ht="18.75" customHeight="1" thickBot="1">
      <c r="C18" s="29"/>
      <c r="D18" s="29"/>
      <c r="E18" s="29"/>
      <c r="F18" s="29"/>
      <c r="H18" s="29"/>
    </row>
    <row r="19" spans="1:9" ht="18.75" customHeight="1" thickBot="1">
      <c r="C19" s="228" t="s">
        <v>98</v>
      </c>
      <c r="D19" s="228"/>
      <c r="E19" s="228"/>
      <c r="F19" s="228"/>
      <c r="G19" s="228"/>
      <c r="H19" s="228"/>
      <c r="I19" s="14">
        <f>'DB別表3（削除禁止）'!F16</f>
        <v>250000</v>
      </c>
    </row>
    <row r="20" spans="1:9" ht="18.75" customHeight="1" thickBot="1">
      <c r="C20" s="29"/>
      <c r="D20" s="29"/>
      <c r="E20" s="29"/>
      <c r="F20" s="29"/>
      <c r="H20" s="29"/>
    </row>
    <row r="21" spans="1:9" ht="18.75" customHeight="1" thickBot="1">
      <c r="C21" s="228" t="s">
        <v>99</v>
      </c>
      <c r="D21" s="228"/>
      <c r="E21" s="228"/>
      <c r="F21" s="228"/>
      <c r="G21" s="228"/>
      <c r="H21" s="228"/>
      <c r="I21" s="142"/>
    </row>
    <row r="22" spans="1:9" ht="18.75" customHeight="1" thickBot="1">
      <c r="C22" s="29"/>
      <c r="D22" s="29"/>
      <c r="E22" s="29"/>
      <c r="F22" s="29"/>
      <c r="H22" s="29"/>
    </row>
    <row r="23" spans="1:9" ht="18.75" customHeight="1" thickBot="1">
      <c r="C23" s="228" t="s">
        <v>100</v>
      </c>
      <c r="D23" s="228"/>
      <c r="E23" s="228"/>
      <c r="F23" s="228"/>
      <c r="G23" s="228"/>
      <c r="H23" s="146" t="s">
        <v>43</v>
      </c>
      <c r="I23" s="143" t="str">
        <f>IF(OR(I19="",I21=""),"",MIN(I19,I21))</f>
        <v/>
      </c>
    </row>
    <row r="24" spans="1:9" ht="18.75" customHeight="1" thickBot="1">
      <c r="C24" s="29"/>
      <c r="D24" s="29"/>
      <c r="E24" s="29"/>
      <c r="F24" s="29"/>
      <c r="H24" s="29"/>
    </row>
    <row r="25" spans="1:9" ht="18.75" customHeight="1" thickBot="1">
      <c r="C25" s="240" t="s">
        <v>107</v>
      </c>
      <c r="D25" s="240"/>
      <c r="E25" s="240"/>
      <c r="F25" s="240"/>
      <c r="G25" s="240"/>
      <c r="H25" s="146" t="s">
        <v>33</v>
      </c>
      <c r="I25" s="145" t="e">
        <f>ROUND(I17*I23,0)</f>
        <v>#VALUE!</v>
      </c>
    </row>
    <row r="26" spans="1:9" ht="18.75" customHeight="1">
      <c r="B26" s="229"/>
      <c r="C26" s="229"/>
      <c r="D26" s="229"/>
      <c r="E26" s="229"/>
    </row>
    <row r="27" spans="1:9" s="29" customFormat="1" ht="18.75" customHeight="1">
      <c r="B27" s="24"/>
      <c r="C27" s="24"/>
      <c r="D27" s="24"/>
      <c r="E27" s="24"/>
      <c r="I27" s="6"/>
    </row>
    <row r="28" spans="1:9" ht="18.75" customHeight="1">
      <c r="B28" s="238" t="s">
        <v>137</v>
      </c>
      <c r="C28" s="238"/>
      <c r="D28" s="238"/>
      <c r="E28" s="238"/>
      <c r="F28" s="238"/>
      <c r="G28" s="238"/>
      <c r="H28" s="238"/>
      <c r="I28" s="238"/>
    </row>
    <row r="29" spans="1:9" ht="18.75" customHeight="1">
      <c r="A29" s="2" t="s">
        <v>34</v>
      </c>
      <c r="B29" s="238" t="s">
        <v>138</v>
      </c>
      <c r="C29" s="238"/>
      <c r="D29" s="238"/>
      <c r="E29" s="238"/>
      <c r="F29" s="238"/>
      <c r="G29" s="238"/>
      <c r="H29" s="238"/>
      <c r="I29" s="238"/>
    </row>
    <row r="30" spans="1:9" ht="18.75" customHeight="1">
      <c r="B30" s="3"/>
      <c r="C30" s="3"/>
      <c r="D30" s="3"/>
      <c r="E30" s="3"/>
      <c r="F30" s="3"/>
      <c r="G30" s="33"/>
      <c r="H30" s="3"/>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B26:E26"/>
    <mergeCell ref="B28:I28"/>
    <mergeCell ref="B29:I29"/>
    <mergeCell ref="C9:E9"/>
    <mergeCell ref="C11:H11"/>
    <mergeCell ref="C13:H13"/>
    <mergeCell ref="C15:H15"/>
    <mergeCell ref="C19:H19"/>
    <mergeCell ref="C21:H21"/>
    <mergeCell ref="C8:H8"/>
    <mergeCell ref="C17:G17"/>
    <mergeCell ref="C23:G23"/>
    <mergeCell ref="C25:G25"/>
    <mergeCell ref="F1:I1"/>
    <mergeCell ref="B2:I2"/>
    <mergeCell ref="C4:D4"/>
    <mergeCell ref="C5:E5"/>
    <mergeCell ref="C6:I6"/>
  </mergeCells>
  <phoneticPr fontId="1"/>
  <conditionalFormatting sqref="I11">
    <cfRule type="expression" dxfId="245" priority="9">
      <formula>IF(RIGHT(TEXT($I11,"0.#"),1)=".",FALSE,TRUE)</formula>
    </cfRule>
    <cfRule type="expression" dxfId="244" priority="10">
      <formula>IF(RIGHT(TEXT($I11,"0.#"),1)=".",TRUE,FALSE)</formula>
    </cfRule>
  </conditionalFormatting>
  <conditionalFormatting sqref="I13">
    <cfRule type="expression" dxfId="243" priority="7">
      <formula>IF(RIGHT(TEXT($I13,"0.#"),1)=".",FALSE,TRUE)</formula>
    </cfRule>
    <cfRule type="expression" dxfId="242" priority="8">
      <formula>IF(RIGHT(TEXT($I13,"0.#"),1)=".",TRUE,FALSE)</formula>
    </cfRule>
  </conditionalFormatting>
  <conditionalFormatting sqref="I17">
    <cfRule type="expression" dxfId="241" priority="5">
      <formula>IF(RIGHT(TEXT($I17,"0.#"),1)=".",FALSE,TRUE)</formula>
    </cfRule>
    <cfRule type="expression" dxfId="240" priority="6">
      <formula>IF(RIGHT(TEXT($I17,"0.#"),1)=".",TRUE,FALSE)</formula>
    </cfRule>
  </conditionalFormatting>
  <conditionalFormatting sqref="I21">
    <cfRule type="expression" dxfId="239" priority="3">
      <formula>IF(RIGHT(TEXT($I21,"0.#"),1)=".",FALSE,TRUE)</formula>
    </cfRule>
    <cfRule type="expression" dxfId="238" priority="4">
      <formula>IF(RIGHT(TEXT($I21,"0.#"),1)=".",TRUE,FALSE)</formula>
    </cfRule>
  </conditionalFormatting>
  <conditionalFormatting sqref="I23">
    <cfRule type="expression" dxfId="237" priority="1">
      <formula>IF(RIGHT(TEXT($I23,"0.#"),1)=".",FALSE,TRUE)</formula>
    </cfRule>
    <cfRule type="expression" dxfId="236"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96"/>
  <sheetViews>
    <sheetView view="pageBreakPreview" zoomScale="85" zoomScaleNormal="85" zoomScaleSheetLayoutView="85" workbookViewId="0">
      <selection activeCell="C25" sqref="C25:G25"/>
    </sheetView>
  </sheetViews>
  <sheetFormatPr defaultColWidth="9" defaultRowHeight="13"/>
  <cols>
    <col min="1" max="1" width="1.26953125" style="2" customWidth="1"/>
    <col min="2" max="2" width="13.90625" style="2" bestFit="1" customWidth="1"/>
    <col min="3" max="3" width="14" style="2" customWidth="1"/>
    <col min="4" max="6" width="9" style="2" customWidth="1"/>
    <col min="7" max="7" width="9" style="29" customWidth="1"/>
    <col min="8" max="8" width="9" style="2" customWidth="1"/>
    <col min="9" max="9" width="15" style="2" customWidth="1"/>
    <col min="10" max="16384" width="9" style="2"/>
  </cols>
  <sheetData>
    <row r="1" spans="2:9" ht="18.75" customHeight="1">
      <c r="F1" s="233" t="s">
        <v>38</v>
      </c>
      <c r="G1" s="233"/>
      <c r="H1" s="233"/>
      <c r="I1" s="233"/>
    </row>
    <row r="2" spans="2:9" ht="40.5" customHeight="1">
      <c r="B2" s="234" t="s">
        <v>327</v>
      </c>
      <c r="C2" s="234"/>
      <c r="D2" s="234"/>
      <c r="E2" s="234"/>
      <c r="F2" s="234"/>
      <c r="G2" s="234"/>
      <c r="H2" s="234"/>
      <c r="I2" s="234"/>
    </row>
    <row r="3" spans="2:9" ht="18.75" customHeight="1">
      <c r="B3" s="3"/>
      <c r="C3" s="3"/>
      <c r="D3" s="3"/>
      <c r="E3" s="3"/>
      <c r="F3" s="3"/>
      <c r="G3" s="33"/>
      <c r="H3" s="3"/>
      <c r="I3" s="3"/>
    </row>
    <row r="4" spans="2:9" ht="18.75" customHeight="1">
      <c r="B4" s="9" t="s">
        <v>32</v>
      </c>
      <c r="C4" s="237"/>
      <c r="D4" s="237"/>
      <c r="E4" s="10"/>
      <c r="F4" s="10"/>
      <c r="G4" s="10"/>
      <c r="H4" s="10"/>
      <c r="I4" s="10"/>
    </row>
    <row r="5" spans="2:9" ht="18.75" customHeight="1">
      <c r="B5" s="9" t="s">
        <v>30</v>
      </c>
      <c r="C5" s="236"/>
      <c r="D5" s="236"/>
      <c r="E5" s="236"/>
      <c r="F5" s="5"/>
      <c r="G5" s="30"/>
      <c r="H5" s="5"/>
      <c r="I5" s="5"/>
    </row>
    <row r="6" spans="2:9" ht="18.75" customHeight="1">
      <c r="B6" s="9" t="s">
        <v>29</v>
      </c>
      <c r="C6" s="235" t="s">
        <v>87</v>
      </c>
      <c r="D6" s="235"/>
      <c r="E6" s="235"/>
      <c r="F6" s="235"/>
      <c r="G6" s="235"/>
      <c r="H6" s="235"/>
      <c r="I6" s="235"/>
    </row>
    <row r="7" spans="2:9" ht="18.75" customHeight="1" thickBot="1"/>
    <row r="8" spans="2:9" ht="18.75" customHeight="1" thickBot="1">
      <c r="C8" s="228" t="s">
        <v>27</v>
      </c>
      <c r="D8" s="228"/>
      <c r="E8" s="228"/>
      <c r="F8" s="228"/>
      <c r="G8" s="228"/>
      <c r="H8" s="228"/>
      <c r="I8" s="49" t="str">
        <f>IF(D9="","",VLOOKUP(D9,'DB（削除禁止）'!$AO$4:$AP$6,2,FALSE))</f>
        <v/>
      </c>
    </row>
    <row r="9" spans="2:9" ht="18.75" customHeight="1">
      <c r="C9" s="21" t="s">
        <v>48</v>
      </c>
      <c r="D9" s="246"/>
      <c r="E9" s="246"/>
      <c r="F9" s="246"/>
      <c r="G9" s="246"/>
      <c r="H9" s="246"/>
    </row>
    <row r="10" spans="2:9" ht="18.75" customHeight="1"/>
    <row r="11" spans="2:9" ht="18.75" customHeight="1">
      <c r="C11" s="228" t="s">
        <v>28</v>
      </c>
      <c r="D11" s="228"/>
      <c r="E11" s="228"/>
      <c r="F11" s="228"/>
      <c r="G11" s="228"/>
      <c r="H11" s="228"/>
    </row>
    <row r="12" spans="2:9" s="69" customFormat="1" ht="18.75" customHeight="1" thickBot="1">
      <c r="C12" s="65"/>
      <c r="D12" s="65"/>
      <c r="E12" s="65"/>
      <c r="F12" s="65"/>
      <c r="G12" s="65"/>
      <c r="H12" s="65"/>
    </row>
    <row r="13" spans="2:9" s="69" customFormat="1" ht="18.75" customHeight="1" thickBot="1">
      <c r="C13" s="122" t="s">
        <v>261</v>
      </c>
      <c r="D13" s="65"/>
      <c r="E13" s="65"/>
      <c r="F13" s="65"/>
      <c r="G13" s="65"/>
      <c r="I13" s="142"/>
    </row>
    <row r="14" spans="2:9" s="69" customFormat="1" ht="18.75" customHeight="1" thickBot="1">
      <c r="C14" s="70"/>
      <c r="D14" s="65"/>
      <c r="E14" s="65"/>
      <c r="F14" s="65"/>
      <c r="G14" s="65"/>
    </row>
    <row r="15" spans="2:9" s="69" customFormat="1" ht="18.75" customHeight="1" thickBot="1">
      <c r="C15" s="69" t="s">
        <v>246</v>
      </c>
      <c r="D15" s="65"/>
      <c r="E15" s="65"/>
      <c r="F15" s="65"/>
      <c r="G15" s="65"/>
      <c r="I15" s="142"/>
    </row>
    <row r="16" spans="2:9" s="69" customFormat="1" ht="18.75" customHeight="1" thickBot="1">
      <c r="C16" s="65"/>
      <c r="D16" s="65"/>
      <c r="E16" s="65"/>
      <c r="F16" s="65"/>
      <c r="G16" s="65"/>
      <c r="H16" s="70"/>
    </row>
    <row r="17" spans="3:19" s="69" customFormat="1" ht="18.75" customHeight="1" thickBot="1">
      <c r="C17" s="65"/>
      <c r="D17" s="65"/>
      <c r="E17" s="65"/>
      <c r="F17" s="65"/>
      <c r="G17" s="65"/>
      <c r="H17" s="70" t="s">
        <v>245</v>
      </c>
      <c r="I17" s="143">
        <f>SUM(I13,I15)</f>
        <v>0</v>
      </c>
    </row>
    <row r="18" spans="3:19" s="69" customFormat="1" ht="18.75" customHeight="1" thickBot="1">
      <c r="C18" s="65"/>
      <c r="D18" s="65"/>
      <c r="E18" s="65"/>
      <c r="F18" s="65"/>
      <c r="G18" s="65"/>
      <c r="H18" s="65"/>
    </row>
    <row r="19" spans="3:19" ht="18.75" customHeight="1" thickBot="1">
      <c r="C19" s="228" t="s">
        <v>247</v>
      </c>
      <c r="D19" s="228"/>
      <c r="E19" s="228"/>
      <c r="F19" s="228"/>
      <c r="G19" s="228"/>
      <c r="H19" s="228"/>
      <c r="I19" s="143" t="str">
        <f>IF(OR(I8="",I17=""),"",MIN(I8,I17))</f>
        <v/>
      </c>
    </row>
    <row r="20" spans="3:19" ht="18.75" customHeight="1" thickBot="1"/>
    <row r="21" spans="3:19" ht="18.75" customHeight="1" thickBot="1">
      <c r="C21" s="228" t="s">
        <v>41</v>
      </c>
      <c r="D21" s="228"/>
      <c r="E21" s="228"/>
      <c r="F21" s="228"/>
      <c r="G21" s="228"/>
      <c r="H21" s="228"/>
      <c r="I21" s="47"/>
    </row>
    <row r="22" spans="3:19" ht="18.75" customHeight="1" thickBot="1">
      <c r="I22" s="6"/>
    </row>
    <row r="23" spans="3:19" ht="18.75" customHeight="1" thickBot="1">
      <c r="C23" s="240" t="s">
        <v>108</v>
      </c>
      <c r="D23" s="240"/>
      <c r="E23" s="240"/>
      <c r="F23" s="240"/>
      <c r="G23" s="240"/>
      <c r="H23" s="136"/>
      <c r="I23" s="143" t="e">
        <f>ROUND(I19*I21,2)</f>
        <v>#VALUE!</v>
      </c>
    </row>
    <row r="24" spans="3:19" s="136" customFormat="1" ht="18.75" customHeight="1"/>
    <row r="25" spans="3:19" s="136" customFormat="1" ht="18.75" customHeight="1" thickBot="1">
      <c r="C25" s="136" t="s">
        <v>310</v>
      </c>
      <c r="H25" s="137"/>
      <c r="K25" s="137" t="s">
        <v>311</v>
      </c>
    </row>
    <row r="26" spans="3:19" s="69" customFormat="1" ht="18.75" customHeight="1" thickBot="1">
      <c r="C26" s="122" t="s">
        <v>261</v>
      </c>
      <c r="D26" s="65"/>
      <c r="E26" s="65"/>
      <c r="F26" s="65"/>
      <c r="G26" s="65"/>
      <c r="H26" s="146" t="s">
        <v>312</v>
      </c>
      <c r="I26" s="142"/>
      <c r="K26" s="6">
        <f>I13*I21</f>
        <v>0</v>
      </c>
    </row>
    <row r="27" spans="3:19" s="69" customFormat="1" ht="18.75" customHeight="1" thickBot="1">
      <c r="C27" s="124"/>
      <c r="D27" s="65"/>
      <c r="E27" s="65"/>
      <c r="F27" s="65"/>
      <c r="G27" s="65"/>
      <c r="K27" s="6"/>
    </row>
    <row r="28" spans="3:19" s="69" customFormat="1" ht="18.75" customHeight="1" thickBot="1">
      <c r="C28" s="122" t="s">
        <v>246</v>
      </c>
      <c r="D28" s="65"/>
      <c r="E28" s="65"/>
      <c r="F28" s="65"/>
      <c r="G28" s="65"/>
      <c r="H28" s="146" t="s">
        <v>312</v>
      </c>
      <c r="I28" s="143" t="e">
        <f>IF(I13*I21&lt;I26,"※",IF(I15*I21&lt;I23-I26,"※",I23-I26))</f>
        <v>#VALUE!</v>
      </c>
      <c r="K28" s="6">
        <f>I15*I21</f>
        <v>0</v>
      </c>
    </row>
    <row r="29" spans="3:19" s="69" customFormat="1" ht="18.75" customHeight="1">
      <c r="C29" s="240" t="s">
        <v>250</v>
      </c>
      <c r="D29" s="240"/>
      <c r="E29" s="240"/>
      <c r="F29" s="240"/>
      <c r="G29" s="240"/>
      <c r="H29" s="240"/>
      <c r="I29" s="240"/>
    </row>
    <row r="30" spans="3:19" ht="18.75" customHeight="1">
      <c r="C30" s="29"/>
      <c r="D30" s="29"/>
      <c r="E30" s="29"/>
      <c r="F30" s="29"/>
      <c r="H30" s="29"/>
      <c r="I30" s="6"/>
      <c r="L30" s="60"/>
      <c r="M30" s="60"/>
      <c r="R30" s="60"/>
    </row>
    <row r="31" spans="3:19" ht="18.75" customHeight="1" thickBot="1">
      <c r="C31" s="228" t="s">
        <v>98</v>
      </c>
      <c r="D31" s="228"/>
      <c r="E31" s="228"/>
      <c r="F31" s="228"/>
      <c r="G31" s="228"/>
      <c r="H31" s="228"/>
      <c r="S31" s="60"/>
    </row>
    <row r="32" spans="3:19" s="60" customFormat="1" ht="18.75" customHeight="1" thickBot="1">
      <c r="C32" s="122" t="s">
        <v>261</v>
      </c>
      <c r="D32" s="231" t="s">
        <v>92</v>
      </c>
      <c r="E32" s="231"/>
      <c r="F32" s="232"/>
      <c r="G32" s="232"/>
      <c r="H32" s="65"/>
      <c r="I32" s="46" t="str">
        <f>IF(OR(F32="",I13="",I26=0),"",VLOOKUP(F32,'DB別表3（削除禁止）'!$E$20:$F$21,2,FALSE))</f>
        <v/>
      </c>
      <c r="R32" s="2"/>
      <c r="S32" s="2"/>
    </row>
    <row r="33" spans="2:19" s="69" customFormat="1" ht="18.75" customHeight="1" thickBot="1">
      <c r="C33" s="124"/>
      <c r="D33" s="68"/>
      <c r="E33" s="68"/>
      <c r="H33" s="65"/>
    </row>
    <row r="34" spans="2:19" s="69" customFormat="1" ht="18.75" customHeight="1" thickBot="1">
      <c r="C34" s="122" t="s">
        <v>246</v>
      </c>
      <c r="D34" s="231" t="s">
        <v>92</v>
      </c>
      <c r="E34" s="231"/>
      <c r="F34" s="232"/>
      <c r="G34" s="232"/>
      <c r="H34" s="57"/>
      <c r="I34" s="46" t="str">
        <f>IF(OR(F34="",I15="",I15=0),"",VLOOKUP(F34,'DB別表3（削除禁止）'!$E$18:$F$19,2,FALSE))</f>
        <v/>
      </c>
    </row>
    <row r="35" spans="2:19" s="69" customFormat="1" ht="18.75" customHeight="1" thickBot="1">
      <c r="C35" s="68"/>
      <c r="D35" s="68"/>
      <c r="H35" s="65"/>
    </row>
    <row r="36" spans="2:19" ht="18.75" customHeight="1" thickBot="1">
      <c r="C36" s="228" t="s">
        <v>99</v>
      </c>
      <c r="D36" s="228"/>
      <c r="E36" s="228"/>
      <c r="F36" s="228"/>
      <c r="G36" s="228"/>
      <c r="H36" s="228"/>
      <c r="I36" s="142"/>
    </row>
    <row r="37" spans="2:19" ht="18.75" customHeight="1">
      <c r="C37" s="29"/>
      <c r="D37" s="29"/>
      <c r="E37" s="29"/>
      <c r="F37" s="29"/>
      <c r="H37" s="29"/>
      <c r="I37" s="6"/>
    </row>
    <row r="38" spans="2:19" ht="18.75" customHeight="1">
      <c r="C38" s="228" t="s">
        <v>248</v>
      </c>
      <c r="D38" s="228"/>
      <c r="E38" s="228"/>
      <c r="F38" s="228"/>
      <c r="G38" s="228"/>
    </row>
    <row r="39" spans="2:19" s="69" customFormat="1" ht="18.75" customHeight="1" thickBot="1">
      <c r="C39" s="65"/>
      <c r="D39" s="65"/>
      <c r="E39" s="65"/>
      <c r="F39" s="65"/>
      <c r="G39" s="65"/>
      <c r="H39" s="70"/>
    </row>
    <row r="40" spans="2:19" s="69" customFormat="1" ht="18.75" customHeight="1" thickBot="1">
      <c r="C40" s="122" t="s">
        <v>261</v>
      </c>
      <c r="D40" s="65"/>
      <c r="E40" s="65"/>
      <c r="F40" s="65"/>
      <c r="G40" s="65"/>
      <c r="H40" s="146" t="s">
        <v>43</v>
      </c>
      <c r="I40" s="143" t="str">
        <f>IF(OR(I32="",I36=""),"",MIN(I32,I36))</f>
        <v/>
      </c>
    </row>
    <row r="41" spans="2:19" s="69" customFormat="1" ht="18.75" customHeight="1" thickBot="1">
      <c r="C41" s="124"/>
      <c r="D41" s="65"/>
      <c r="E41" s="65"/>
      <c r="F41" s="65"/>
      <c r="G41" s="65"/>
      <c r="H41" s="70"/>
    </row>
    <row r="42" spans="2:19" s="69" customFormat="1" ht="18.75" customHeight="1" thickBot="1">
      <c r="C42" s="122" t="s">
        <v>246</v>
      </c>
      <c r="D42" s="65"/>
      <c r="E42" s="65"/>
      <c r="F42" s="65"/>
      <c r="G42" s="65"/>
      <c r="H42" s="146" t="s">
        <v>43</v>
      </c>
      <c r="I42" s="143" t="str">
        <f>IF(OR(I34="",I36=""),"",MIN(I34,I36))</f>
        <v/>
      </c>
    </row>
    <row r="43" spans="2:19" s="69" customFormat="1" ht="18.75" customHeight="1">
      <c r="C43" s="65"/>
      <c r="D43" s="65"/>
      <c r="E43" s="65"/>
      <c r="F43" s="65"/>
      <c r="G43" s="65"/>
      <c r="H43" s="70"/>
    </row>
    <row r="44" spans="2:19" ht="18.75" customHeight="1">
      <c r="C44" s="240" t="s">
        <v>107</v>
      </c>
      <c r="D44" s="240"/>
      <c r="E44" s="240"/>
      <c r="F44" s="240"/>
      <c r="G44" s="240"/>
      <c r="L44" s="29"/>
      <c r="M44" s="29"/>
      <c r="N44" s="29"/>
      <c r="O44" s="29"/>
      <c r="P44" s="29"/>
      <c r="Q44" s="29"/>
      <c r="R44" s="29"/>
    </row>
    <row r="45" spans="2:19" s="69" customFormat="1" ht="18.75" customHeight="1" thickBot="1">
      <c r="H45" s="70"/>
    </row>
    <row r="46" spans="2:19" s="69" customFormat="1" ht="18.75" customHeight="1" thickBot="1">
      <c r="C46" s="122" t="s">
        <v>261</v>
      </c>
      <c r="H46" s="70"/>
      <c r="I46" s="46" t="str">
        <f>IF(I32="","",ROUNDDOWN(I26*I40,0))</f>
        <v/>
      </c>
    </row>
    <row r="47" spans="2:19" s="69" customFormat="1" ht="18.75" customHeight="1" thickBot="1">
      <c r="C47" s="124"/>
      <c r="H47" s="70"/>
    </row>
    <row r="48" spans="2:19" ht="18.75" customHeight="1" thickBot="1">
      <c r="B48" s="67"/>
      <c r="C48" s="122" t="s">
        <v>246</v>
      </c>
      <c r="D48" s="67"/>
      <c r="E48" s="67"/>
      <c r="I48" s="46" t="str">
        <f>IF(I34="","",ROUNDDOWN(I28*I42,0))</f>
        <v/>
      </c>
      <c r="S48" s="29"/>
    </row>
    <row r="49" spans="1:19" s="29" customFormat="1" ht="18.75" customHeight="1" thickBot="1">
      <c r="B49" s="24"/>
      <c r="C49" s="24"/>
      <c r="D49" s="24"/>
      <c r="E49" s="24"/>
      <c r="L49" s="2"/>
      <c r="M49" s="2"/>
      <c r="N49" s="2"/>
      <c r="O49" s="2"/>
      <c r="P49" s="2"/>
      <c r="Q49" s="2"/>
      <c r="R49" s="2"/>
      <c r="S49" s="2"/>
    </row>
    <row r="50" spans="1:19" s="69" customFormat="1" ht="18.75" customHeight="1" thickBot="1">
      <c r="B50" s="66"/>
      <c r="C50" s="66"/>
      <c r="D50" s="66"/>
      <c r="E50" s="66"/>
      <c r="G50" s="247" t="s">
        <v>251</v>
      </c>
      <c r="H50" s="248"/>
      <c r="I50" s="147" t="str">
        <f>IF(I46="",I48,IF(I48="",I46,SUM(I46+I48)))</f>
        <v/>
      </c>
    </row>
    <row r="51" spans="1:19" s="69" customFormat="1" ht="18.75" customHeight="1">
      <c r="B51" s="66"/>
      <c r="C51" s="66"/>
      <c r="D51" s="66"/>
      <c r="E51" s="66"/>
    </row>
    <row r="52" spans="1:19" s="69" customFormat="1" ht="18.75" customHeight="1">
      <c r="B52" s="66"/>
      <c r="C52" s="66"/>
      <c r="D52" s="66"/>
      <c r="E52" s="66"/>
    </row>
    <row r="53" spans="1:19" ht="18.75" customHeight="1">
      <c r="B53" s="238" t="s">
        <v>137</v>
      </c>
      <c r="C53" s="238"/>
      <c r="D53" s="238"/>
      <c r="E53" s="238"/>
      <c r="F53" s="238"/>
      <c r="G53" s="238"/>
      <c r="H53" s="238"/>
      <c r="I53" s="238"/>
    </row>
    <row r="54" spans="1:19" ht="18.75" customHeight="1">
      <c r="A54" s="2" t="s">
        <v>34</v>
      </c>
      <c r="B54" s="238" t="s">
        <v>138</v>
      </c>
      <c r="C54" s="238"/>
      <c r="D54" s="238"/>
      <c r="E54" s="238"/>
      <c r="F54" s="238"/>
      <c r="G54" s="238"/>
      <c r="H54" s="238"/>
      <c r="I54" s="238"/>
    </row>
    <row r="55" spans="1:19" ht="18.75" customHeight="1">
      <c r="B55" s="3"/>
      <c r="C55" s="3"/>
      <c r="D55" s="3"/>
      <c r="E55" s="3"/>
      <c r="F55" s="3"/>
      <c r="G55" s="33"/>
      <c r="H55" s="3"/>
      <c r="I55" s="3"/>
    </row>
    <row r="56" spans="1:19" ht="18.75" customHeight="1"/>
    <row r="57" spans="1:19" ht="18.75" customHeight="1"/>
    <row r="58" spans="1:19" ht="18.75" customHeight="1"/>
    <row r="59" spans="1:19" ht="18.75" customHeight="1"/>
    <row r="60" spans="1:19" ht="18.75" customHeight="1"/>
    <row r="61" spans="1:19" ht="18.75" customHeight="1"/>
    <row r="62" spans="1:19" ht="18.75" customHeight="1"/>
    <row r="63" spans="1:19" ht="18.75" customHeight="1"/>
    <row r="64" spans="1: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sheetData>
  <mergeCells count="23">
    <mergeCell ref="B54:I54"/>
    <mergeCell ref="C31:H31"/>
    <mergeCell ref="C36:H36"/>
    <mergeCell ref="C38:G38"/>
    <mergeCell ref="C44:G44"/>
    <mergeCell ref="B53:I53"/>
    <mergeCell ref="D32:E32"/>
    <mergeCell ref="G50:H50"/>
    <mergeCell ref="D34:E34"/>
    <mergeCell ref="F32:G32"/>
    <mergeCell ref="F34:G34"/>
    <mergeCell ref="C29:I29"/>
    <mergeCell ref="C23:G23"/>
    <mergeCell ref="D9:H9"/>
    <mergeCell ref="F1:I1"/>
    <mergeCell ref="B2:I2"/>
    <mergeCell ref="C4:D4"/>
    <mergeCell ref="C5:E5"/>
    <mergeCell ref="C6:I6"/>
    <mergeCell ref="C8:H8"/>
    <mergeCell ref="C11:H11"/>
    <mergeCell ref="C19:H19"/>
    <mergeCell ref="C21:H21"/>
  </mergeCells>
  <phoneticPr fontId="1"/>
  <conditionalFormatting sqref="I19 I23">
    <cfRule type="expression" dxfId="235" priority="19">
      <formula>IF(RIGHT(TEXT($I19,"0.#"),1)=".",FALSE,TRUE)</formula>
    </cfRule>
    <cfRule type="expression" dxfId="234" priority="20">
      <formula>IF(RIGHT(TEXT($I19,"0.#"),1)=".",TRUE,FALSE)</formula>
    </cfRule>
  </conditionalFormatting>
  <conditionalFormatting sqref="I13">
    <cfRule type="expression" dxfId="233" priority="17">
      <formula>IF(RIGHT(TEXT($I13,"0.#"),1)=".",FALSE,TRUE)</formula>
    </cfRule>
    <cfRule type="expression" dxfId="232" priority="18">
      <formula>IF(RIGHT(TEXT($I13,"0.#"),1)=".",TRUE,FALSE)</formula>
    </cfRule>
  </conditionalFormatting>
  <conditionalFormatting sqref="I15">
    <cfRule type="expression" dxfId="231" priority="15">
      <formula>IF(RIGHT(TEXT($I15,"0.#"),1)=".",FALSE,TRUE)</formula>
    </cfRule>
    <cfRule type="expression" dxfId="230" priority="16">
      <formula>IF(RIGHT(TEXT($I15,"0.#"),1)=".",TRUE,FALSE)</formula>
    </cfRule>
  </conditionalFormatting>
  <conditionalFormatting sqref="I26">
    <cfRule type="expression" dxfId="229" priority="13">
      <formula>IF(RIGHT(TEXT($I26,"0.#"),1)=".",FALSE,TRUE)</formula>
    </cfRule>
    <cfRule type="expression" dxfId="228" priority="14">
      <formula>IF(RIGHT(TEXT($I26,"0.#"),1)=".",TRUE,FALSE)</formula>
    </cfRule>
  </conditionalFormatting>
  <conditionalFormatting sqref="I36">
    <cfRule type="expression" dxfId="227" priority="9">
      <formula>IF(RIGHT(TEXT($I36,"0.#"),1)=".",FALSE,TRUE)</formula>
    </cfRule>
    <cfRule type="expression" dxfId="226" priority="10">
      <formula>IF(RIGHT(TEXT($I36,"0.#"),1)=".",TRUE,FALSE)</formula>
    </cfRule>
  </conditionalFormatting>
  <conditionalFormatting sqref="I40">
    <cfRule type="expression" dxfId="225" priority="7">
      <formula>IF(RIGHT(TEXT($I40,"0.#"),1)=".",FALSE,TRUE)</formula>
    </cfRule>
    <cfRule type="expression" dxfId="224" priority="8">
      <formula>IF(RIGHT(TEXT($I40,"0.#"),1)=".",TRUE,FALSE)</formula>
    </cfRule>
  </conditionalFormatting>
  <conditionalFormatting sqref="I42">
    <cfRule type="expression" dxfId="223" priority="5">
      <formula>IF(RIGHT(TEXT($I42,"0.#"),1)=".",FALSE,TRUE)</formula>
    </cfRule>
    <cfRule type="expression" dxfId="222" priority="6">
      <formula>IF(RIGHT(TEXT($I42,"0.#"),1)=".",TRUE,FALSE)</formula>
    </cfRule>
  </conditionalFormatting>
  <conditionalFormatting sqref="I17">
    <cfRule type="expression" dxfId="221" priority="3">
      <formula>IF(RIGHT(TEXT($I17,"0.#"),1)=".",FALSE,TRUE)</formula>
    </cfRule>
    <cfRule type="expression" dxfId="220" priority="4">
      <formula>IF(RIGHT(TEXT($I17,"0.#"),1)=".",TRUE,FALSE)</formula>
    </cfRule>
  </conditionalFormatting>
  <conditionalFormatting sqref="I28">
    <cfRule type="expression" dxfId="219" priority="1">
      <formula>IF(RIGHT(TEXT($I28,"0.#"),1)=".",FALSE,TRUE)</formula>
    </cfRule>
    <cfRule type="expression" dxfId="218" priority="2">
      <formula>IF(RIGHT(TEXT($I28,"0.#"),1)=".",TRUE,FALSE)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'DB（削除禁止）'!$AO$4:$AO$6</xm:f>
          </x14:formula1>
          <xm:sqref>D9:H9</xm:sqref>
        </x14:dataValidation>
        <x14:dataValidation type="list" allowBlank="1" showInputMessage="1" showErrorMessage="1">
          <x14:formula1>
            <xm:f>'DB別表3（削除禁止）'!$E$18:$E$19</xm:f>
          </x14:formula1>
          <xm:sqref>F32</xm:sqref>
        </x14:dataValidation>
        <x14:dataValidation type="list" allowBlank="1" showInputMessage="1" showErrorMessage="1">
          <x14:formula1>
            <xm:f>'DB別表3（削除禁止）'!$E$20:$E$21</xm:f>
          </x14:formula1>
          <xm:sqref>F34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72"/>
  <sheetViews>
    <sheetView view="pageBreakPreview" zoomScale="85" zoomScaleNormal="85" zoomScaleSheetLayoutView="85" workbookViewId="0">
      <selection activeCell="C25" sqref="C25:G25"/>
    </sheetView>
  </sheetViews>
  <sheetFormatPr defaultColWidth="9" defaultRowHeight="13"/>
  <cols>
    <col min="1" max="1" width="1.26953125" style="2" customWidth="1"/>
    <col min="2" max="2" width="13.90625" style="2" bestFit="1" customWidth="1"/>
    <col min="3" max="3" width="14" style="2" customWidth="1"/>
    <col min="4" max="6" width="9" style="2" customWidth="1"/>
    <col min="7" max="7" width="9" style="29" customWidth="1"/>
    <col min="8" max="8" width="9" style="2" customWidth="1"/>
    <col min="9" max="9" width="15" style="2" customWidth="1"/>
    <col min="10" max="16384" width="9" style="2"/>
  </cols>
  <sheetData>
    <row r="1" spans="2:13" ht="18.75" customHeight="1">
      <c r="F1" s="233" t="s">
        <v>38</v>
      </c>
      <c r="G1" s="233"/>
      <c r="H1" s="233"/>
      <c r="I1" s="233"/>
    </row>
    <row r="2" spans="2:13" ht="40.5" customHeight="1">
      <c r="B2" s="234" t="s">
        <v>327</v>
      </c>
      <c r="C2" s="234"/>
      <c r="D2" s="234"/>
      <c r="E2" s="234"/>
      <c r="F2" s="234"/>
      <c r="G2" s="234"/>
      <c r="H2" s="234"/>
      <c r="I2" s="234"/>
    </row>
    <row r="3" spans="2:13" ht="18.75" customHeight="1">
      <c r="B3" s="3"/>
      <c r="C3" s="3"/>
      <c r="D3" s="3"/>
      <c r="E3" s="3"/>
      <c r="F3" s="3"/>
      <c r="G3" s="33"/>
      <c r="H3" s="3"/>
      <c r="I3" s="3"/>
    </row>
    <row r="4" spans="2:13" ht="18.75" customHeight="1">
      <c r="B4" s="9" t="s">
        <v>32</v>
      </c>
      <c r="C4" s="237"/>
      <c r="D4" s="237"/>
      <c r="E4" s="10"/>
      <c r="F4" s="10"/>
      <c r="G4" s="10"/>
      <c r="H4" s="10"/>
      <c r="I4" s="10"/>
    </row>
    <row r="5" spans="2:13" ht="18.75" customHeight="1">
      <c r="B5" s="9" t="s">
        <v>30</v>
      </c>
      <c r="C5" s="236"/>
      <c r="D5" s="236"/>
      <c r="E5" s="236"/>
      <c r="F5" s="5"/>
      <c r="G5" s="30"/>
      <c r="H5" s="5"/>
      <c r="I5" s="5"/>
    </row>
    <row r="6" spans="2:13" ht="18.75" customHeight="1">
      <c r="B6" s="9" t="s">
        <v>29</v>
      </c>
      <c r="C6" s="235" t="s">
        <v>88</v>
      </c>
      <c r="D6" s="235"/>
      <c r="E6" s="235"/>
      <c r="F6" s="235"/>
      <c r="G6" s="235"/>
      <c r="H6" s="235"/>
      <c r="I6" s="235"/>
    </row>
    <row r="7" spans="2:13" ht="18.75" customHeight="1" thickBot="1"/>
    <row r="8" spans="2:13" ht="18.75" customHeight="1" thickBot="1">
      <c r="C8" s="228" t="s">
        <v>27</v>
      </c>
      <c r="D8" s="228"/>
      <c r="E8" s="228"/>
      <c r="F8" s="228"/>
      <c r="G8" s="228"/>
      <c r="H8" s="228"/>
      <c r="I8" s="46" t="str">
        <f>IF(D9="","",VLOOKUP(D9,'DB（削除禁止）'!$AT$4:$AU$5,2,FALSE))</f>
        <v/>
      </c>
    </row>
    <row r="9" spans="2:13" ht="18.75" customHeight="1">
      <c r="C9" s="21" t="s">
        <v>48</v>
      </c>
      <c r="D9" s="246"/>
      <c r="E9" s="246"/>
      <c r="F9" s="246"/>
      <c r="G9" s="246"/>
      <c r="H9" s="246"/>
    </row>
    <row r="10" spans="2:13" ht="18.75" customHeight="1" thickBot="1"/>
    <row r="11" spans="2:13" ht="18.75" customHeight="1" thickBot="1">
      <c r="C11" s="228" t="s">
        <v>28</v>
      </c>
      <c r="D11" s="228"/>
      <c r="E11" s="228"/>
      <c r="F11" s="228"/>
      <c r="G11" s="228"/>
      <c r="H11" s="228"/>
      <c r="I11" s="142"/>
    </row>
    <row r="12" spans="2:13" ht="18.75" customHeight="1" thickBot="1">
      <c r="I12" s="6"/>
      <c r="M12" s="21"/>
    </row>
    <row r="13" spans="2:13" ht="18.75" customHeight="1" thickBot="1">
      <c r="C13" s="228" t="s">
        <v>40</v>
      </c>
      <c r="D13" s="228"/>
      <c r="E13" s="228"/>
      <c r="F13" s="228"/>
      <c r="G13" s="228"/>
      <c r="H13" s="228"/>
      <c r="I13" s="143" t="str">
        <f>IF(OR(I8="",I11=""),"",MIN(I8,I11))</f>
        <v/>
      </c>
    </row>
    <row r="14" spans="2:13" ht="18.75" customHeight="1" thickBot="1"/>
    <row r="15" spans="2:13" ht="18.75" customHeight="1" thickBot="1">
      <c r="C15" s="228" t="s">
        <v>41</v>
      </c>
      <c r="D15" s="228"/>
      <c r="E15" s="228"/>
      <c r="F15" s="228"/>
      <c r="G15" s="228"/>
      <c r="H15" s="228"/>
      <c r="I15" s="47"/>
    </row>
    <row r="16" spans="2:13" ht="18.75" customHeight="1" thickBot="1">
      <c r="I16" s="6"/>
    </row>
    <row r="17" spans="1:9" ht="18.75" customHeight="1" thickBot="1">
      <c r="C17" s="240" t="s">
        <v>108</v>
      </c>
      <c r="D17" s="240"/>
      <c r="E17" s="240"/>
      <c r="F17" s="240"/>
      <c r="G17" s="240"/>
      <c r="H17" s="146" t="s">
        <v>42</v>
      </c>
      <c r="I17" s="143" t="e">
        <f>ROUND(I13*I15,2)</f>
        <v>#VALUE!</v>
      </c>
    </row>
    <row r="18" spans="1:9" ht="18.75" customHeight="1" thickBot="1">
      <c r="C18" s="29"/>
      <c r="D18" s="29"/>
      <c r="E18" s="29"/>
      <c r="F18" s="29"/>
      <c r="H18" s="29"/>
      <c r="I18" s="6"/>
    </row>
    <row r="19" spans="1:9" ht="18.75" customHeight="1" thickBot="1">
      <c r="C19" s="228" t="s">
        <v>98</v>
      </c>
      <c r="D19" s="228"/>
      <c r="E19" s="228"/>
      <c r="F19" s="228"/>
      <c r="G19" s="228"/>
      <c r="H19" s="228"/>
      <c r="I19" s="14" t="str">
        <f>IF(E20="","",VLOOKUP(E20,'DB別表3（削除禁止）'!$D$23:$F$24,3,FALSE))</f>
        <v/>
      </c>
    </row>
    <row r="20" spans="1:9" s="60" customFormat="1" ht="18.75" customHeight="1">
      <c r="C20" s="231" t="s">
        <v>205</v>
      </c>
      <c r="D20" s="231"/>
      <c r="E20" s="232"/>
      <c r="F20" s="232"/>
      <c r="H20" s="57"/>
    </row>
    <row r="21" spans="1:9" ht="18.75" customHeight="1" thickBot="1">
      <c r="C21" s="29"/>
      <c r="D21" s="29"/>
      <c r="E21" s="29"/>
      <c r="F21" s="29"/>
      <c r="H21" s="29"/>
      <c r="I21" s="6"/>
    </row>
    <row r="22" spans="1:9" ht="18.75" customHeight="1" thickBot="1">
      <c r="C22" s="228" t="s">
        <v>99</v>
      </c>
      <c r="D22" s="228"/>
      <c r="E22" s="228"/>
      <c r="F22" s="228"/>
      <c r="G22" s="228"/>
      <c r="H22" s="228"/>
      <c r="I22" s="142"/>
    </row>
    <row r="23" spans="1:9" ht="18.75" customHeight="1" thickBot="1">
      <c r="C23" s="29"/>
      <c r="D23" s="29"/>
      <c r="E23" s="29"/>
      <c r="F23" s="29"/>
      <c r="H23" s="29"/>
      <c r="I23" s="6"/>
    </row>
    <row r="24" spans="1:9" ht="18.75" customHeight="1" thickBot="1">
      <c r="C24" s="228" t="s">
        <v>100</v>
      </c>
      <c r="D24" s="228"/>
      <c r="E24" s="228"/>
      <c r="F24" s="228"/>
      <c r="G24" s="228"/>
      <c r="H24" s="146" t="s">
        <v>43</v>
      </c>
      <c r="I24" s="143" t="str">
        <f>IF(OR(I19="",I22=""),"",MIN(I19,I22))</f>
        <v/>
      </c>
    </row>
    <row r="25" spans="1:9" ht="18.75" customHeight="1" thickBot="1">
      <c r="C25" s="29"/>
      <c r="D25" s="29"/>
      <c r="E25" s="29"/>
      <c r="F25" s="29"/>
      <c r="H25" s="29"/>
      <c r="I25" s="6"/>
    </row>
    <row r="26" spans="1:9" ht="18.75" customHeight="1" thickBot="1">
      <c r="C26" s="240" t="s">
        <v>107</v>
      </c>
      <c r="D26" s="240"/>
      <c r="E26" s="240"/>
      <c r="F26" s="240"/>
      <c r="G26" s="240"/>
      <c r="H26" s="146" t="s">
        <v>33</v>
      </c>
      <c r="I26" s="147" t="e">
        <f>ROUND(I17*I24,0)</f>
        <v>#VALUE!</v>
      </c>
    </row>
    <row r="27" spans="1:9" ht="18.75" customHeight="1">
      <c r="B27" s="229"/>
      <c r="C27" s="229"/>
      <c r="D27" s="229"/>
      <c r="E27" s="229"/>
    </row>
    <row r="28" spans="1:9" s="29" customFormat="1" ht="18.75" customHeight="1">
      <c r="B28" s="24"/>
      <c r="C28" s="24"/>
      <c r="D28" s="24"/>
      <c r="E28" s="24"/>
    </row>
    <row r="29" spans="1:9" ht="18.75" customHeight="1">
      <c r="B29" s="238" t="s">
        <v>137</v>
      </c>
      <c r="C29" s="238"/>
      <c r="D29" s="238"/>
      <c r="E29" s="238"/>
      <c r="F29" s="238"/>
      <c r="G29" s="238"/>
      <c r="H29" s="238"/>
      <c r="I29" s="238"/>
    </row>
    <row r="30" spans="1:9" ht="18.75" customHeight="1">
      <c r="A30" s="2" t="s">
        <v>34</v>
      </c>
      <c r="B30" s="238" t="s">
        <v>138</v>
      </c>
      <c r="C30" s="238"/>
      <c r="D30" s="238"/>
      <c r="E30" s="238"/>
      <c r="F30" s="238"/>
      <c r="G30" s="238"/>
      <c r="H30" s="238"/>
      <c r="I30" s="238"/>
    </row>
    <row r="31" spans="1:9" ht="18.75" customHeight="1">
      <c r="B31" s="3"/>
      <c r="C31" s="3"/>
      <c r="D31" s="3"/>
      <c r="E31" s="3"/>
      <c r="F31" s="3"/>
      <c r="G31" s="33"/>
      <c r="H31" s="3"/>
      <c r="I31" s="3"/>
    </row>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mergeCells count="20">
    <mergeCell ref="B30:I30"/>
    <mergeCell ref="C19:H19"/>
    <mergeCell ref="C22:H22"/>
    <mergeCell ref="B27:E27"/>
    <mergeCell ref="B29:I29"/>
    <mergeCell ref="C20:D20"/>
    <mergeCell ref="E20:F20"/>
    <mergeCell ref="C17:G17"/>
    <mergeCell ref="C24:G24"/>
    <mergeCell ref="C26:G26"/>
    <mergeCell ref="C15:H15"/>
    <mergeCell ref="F1:I1"/>
    <mergeCell ref="B2:I2"/>
    <mergeCell ref="C4:D4"/>
    <mergeCell ref="C5:E5"/>
    <mergeCell ref="C6:I6"/>
    <mergeCell ref="C8:H8"/>
    <mergeCell ref="D9:H9"/>
    <mergeCell ref="C11:H11"/>
    <mergeCell ref="C13:H13"/>
  </mergeCells>
  <phoneticPr fontId="1"/>
  <conditionalFormatting sqref="I11">
    <cfRule type="expression" dxfId="217" priority="9">
      <formula>IF(RIGHT(TEXT($I11,"0.#"),1)=".",FALSE,TRUE)</formula>
    </cfRule>
    <cfRule type="expression" dxfId="216" priority="10">
      <formula>IF(RIGHT(TEXT($I11,"0.#"),1)=".",TRUE,FALSE)</formula>
    </cfRule>
  </conditionalFormatting>
  <conditionalFormatting sqref="I13">
    <cfRule type="expression" dxfId="215" priority="7">
      <formula>IF(RIGHT(TEXT($I13,"0.#"),1)=".",FALSE,TRUE)</formula>
    </cfRule>
    <cfRule type="expression" dxfId="214" priority="8">
      <formula>IF(RIGHT(TEXT($I13,"0.#"),1)=".",TRUE,FALSE)</formula>
    </cfRule>
  </conditionalFormatting>
  <conditionalFormatting sqref="I17">
    <cfRule type="expression" dxfId="213" priority="5">
      <formula>IF(RIGHT(TEXT($I17,"0.#"),1)=".",FALSE,TRUE)</formula>
    </cfRule>
    <cfRule type="expression" dxfId="212" priority="6">
      <formula>IF(RIGHT(TEXT($I17,"0.#"),1)=".",TRUE,FALSE)</formula>
    </cfRule>
  </conditionalFormatting>
  <conditionalFormatting sqref="I22">
    <cfRule type="expression" dxfId="211" priority="3">
      <formula>IF(RIGHT(TEXT($I22,"0.#"),1)=".",FALSE,TRUE)</formula>
    </cfRule>
    <cfRule type="expression" dxfId="210" priority="4">
      <formula>IF(RIGHT(TEXT($I22,"0.#"),1)=".",TRUE,FALSE)</formula>
    </cfRule>
  </conditionalFormatting>
  <conditionalFormatting sqref="I24">
    <cfRule type="expression" dxfId="209" priority="1">
      <formula>IF(RIGHT(TEXT($I24,"0.#"),1)=".",FALSE,TRUE)</formula>
    </cfRule>
    <cfRule type="expression" dxfId="208" priority="2">
      <formula>IF(RIGHT(TEXT($I24,"0.#"),1)=".",TRUE,FALSE)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'DB（削除禁止）'!$AT$4:$AT$5</xm:f>
          </x14:formula1>
          <xm:sqref>D9:H9</xm:sqref>
        </x14:dataValidation>
        <x14:dataValidation type="list" allowBlank="1" showInputMessage="1" showErrorMessage="1">
          <x14:formula1>
            <xm:f>'DB別表3（削除禁止）'!$D$23:$D$24</xm:f>
          </x14:formula1>
          <xm:sqref>E20:F20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72"/>
  <sheetViews>
    <sheetView view="pageBreakPreview" zoomScale="85" zoomScaleNormal="85" zoomScaleSheetLayoutView="85" workbookViewId="0">
      <selection activeCell="C6" sqref="C6:F6"/>
    </sheetView>
  </sheetViews>
  <sheetFormatPr defaultColWidth="9" defaultRowHeight="13"/>
  <cols>
    <col min="1" max="1" width="1.26953125" style="2" customWidth="1"/>
    <col min="2" max="2" width="13.90625" style="2" bestFit="1" customWidth="1"/>
    <col min="3" max="3" width="14" style="2" customWidth="1"/>
    <col min="4" max="4" width="9" style="2" customWidth="1"/>
    <col min="5" max="5" width="9" style="29" customWidth="1"/>
    <col min="6" max="8" width="9" style="2" customWidth="1"/>
    <col min="9" max="9" width="15" style="6" customWidth="1"/>
    <col min="10" max="16384" width="9" style="2"/>
  </cols>
  <sheetData>
    <row r="1" spans="2:18" ht="18.75" customHeight="1">
      <c r="G1" s="233" t="s">
        <v>38</v>
      </c>
      <c r="H1" s="233"/>
      <c r="I1" s="233"/>
    </row>
    <row r="2" spans="2:18" ht="40.5" customHeight="1">
      <c r="B2" s="234" t="s">
        <v>327</v>
      </c>
      <c r="C2" s="234"/>
      <c r="D2" s="234"/>
      <c r="E2" s="234"/>
      <c r="F2" s="234"/>
      <c r="G2" s="234"/>
      <c r="H2" s="234"/>
      <c r="I2" s="234"/>
    </row>
    <row r="3" spans="2:18" ht="18.75" customHeight="1">
      <c r="B3" s="3"/>
      <c r="C3" s="3"/>
      <c r="D3" s="3"/>
      <c r="E3" s="33"/>
      <c r="F3" s="3"/>
      <c r="G3" s="3"/>
      <c r="H3" s="3"/>
      <c r="I3" s="4"/>
    </row>
    <row r="4" spans="2:18" ht="18.75" customHeight="1">
      <c r="B4" s="9" t="s">
        <v>32</v>
      </c>
      <c r="C4" s="237"/>
      <c r="D4" s="237"/>
      <c r="E4" s="10"/>
      <c r="F4" s="10"/>
      <c r="G4" s="10"/>
      <c r="H4" s="10"/>
      <c r="I4" s="10"/>
    </row>
    <row r="5" spans="2:18" ht="18.75" customHeight="1">
      <c r="B5" s="9" t="s">
        <v>30</v>
      </c>
      <c r="C5" s="236"/>
      <c r="D5" s="236"/>
      <c r="E5" s="236"/>
      <c r="F5" s="30"/>
      <c r="G5" s="5"/>
      <c r="H5" s="5"/>
      <c r="I5" s="5"/>
    </row>
    <row r="6" spans="2:18" ht="18.75" customHeight="1">
      <c r="B6" s="9" t="s">
        <v>29</v>
      </c>
      <c r="C6" s="235" t="s">
        <v>89</v>
      </c>
      <c r="D6" s="235"/>
      <c r="E6" s="235"/>
      <c r="F6" s="235"/>
      <c r="G6" s="235"/>
      <c r="H6" s="235"/>
      <c r="I6" s="235"/>
    </row>
    <row r="7" spans="2:18" ht="18.75" customHeight="1" thickBot="1"/>
    <row r="8" spans="2:18" ht="18.75" customHeight="1" thickBot="1">
      <c r="C8" s="228" t="str">
        <f>"１．交付要綱別表2第2欄に定める基準面積（"&amp;'DB（削除禁止）'!AY7&amp;"㎡／床）"</f>
        <v>１．交付要綱別表2第2欄に定める基準面積（130㎡／床）</v>
      </c>
      <c r="D8" s="228"/>
      <c r="E8" s="228"/>
      <c r="F8" s="228"/>
      <c r="G8" s="228"/>
      <c r="H8" s="228"/>
      <c r="I8" s="14" t="str">
        <f>IF(E9="","",IF(E9&gt;='DB（削除禁止）'!AY4,'DB（削除禁止）'!AY4*'DB（削除禁止）'!AY7,E9*'DB（削除禁止）'!AY7))</f>
        <v/>
      </c>
    </row>
    <row r="9" spans="2:18" ht="18.75" customHeight="1" thickBot="1">
      <c r="C9" s="231" t="s">
        <v>68</v>
      </c>
      <c r="D9" s="245"/>
      <c r="E9" s="31"/>
      <c r="H9" s="18"/>
      <c r="I9" s="2"/>
      <c r="L9" s="122"/>
      <c r="M9" s="122"/>
      <c r="N9" s="122"/>
      <c r="O9" s="122"/>
      <c r="P9" s="122"/>
      <c r="Q9" s="122"/>
      <c r="R9" s="122"/>
    </row>
    <row r="10" spans="2:18" s="69" customFormat="1" ht="18.75" customHeight="1">
      <c r="C10" s="249" t="str">
        <f>"※基準面積の算出に用いる病床数は"&amp;'DB（削除禁止）'!AY4&amp;"床を限度とする。"</f>
        <v>※基準面積の算出に用いる病床数は10床を限度とする。</v>
      </c>
      <c r="D10" s="249"/>
      <c r="E10" s="249"/>
      <c r="F10" s="249"/>
      <c r="G10" s="249"/>
      <c r="H10" s="249"/>
      <c r="I10" s="249"/>
    </row>
    <row r="11" spans="2:18" ht="18.75" customHeight="1" thickBot="1">
      <c r="C11" s="21"/>
      <c r="D11" s="21"/>
      <c r="E11" s="26"/>
      <c r="F11" s="18"/>
      <c r="G11" s="18"/>
      <c r="H11" s="18"/>
      <c r="I11" s="2"/>
      <c r="J11" s="16"/>
    </row>
    <row r="12" spans="2:18" ht="18.75" customHeight="1" thickBot="1">
      <c r="C12" s="228" t="s">
        <v>28</v>
      </c>
      <c r="D12" s="228"/>
      <c r="E12" s="228"/>
      <c r="F12" s="228"/>
      <c r="G12" s="228"/>
      <c r="H12" s="228"/>
      <c r="I12" s="142"/>
    </row>
    <row r="13" spans="2:18" ht="18.75" customHeight="1" thickBot="1"/>
    <row r="14" spans="2:18" ht="18.75" customHeight="1" thickBot="1">
      <c r="C14" s="228" t="s">
        <v>40</v>
      </c>
      <c r="D14" s="228"/>
      <c r="E14" s="228"/>
      <c r="F14" s="228"/>
      <c r="G14" s="228"/>
      <c r="H14" s="228"/>
      <c r="I14" s="143" t="str">
        <f>IF(OR(I8="",I12=""),"",MIN(I8,I12))</f>
        <v/>
      </c>
    </row>
    <row r="15" spans="2:18" ht="18.75" customHeight="1" thickBot="1">
      <c r="I15" s="2"/>
    </row>
    <row r="16" spans="2:18" ht="18.75" customHeight="1" thickBot="1">
      <c r="C16" s="228" t="s">
        <v>41</v>
      </c>
      <c r="D16" s="228"/>
      <c r="E16" s="228"/>
      <c r="F16" s="228"/>
      <c r="G16" s="228"/>
      <c r="H16" s="228"/>
      <c r="I16" s="8"/>
    </row>
    <row r="17" spans="1:9" ht="18.75" customHeight="1" thickBot="1"/>
    <row r="18" spans="1:9" ht="18.75" customHeight="1" thickBot="1">
      <c r="C18" s="240" t="s">
        <v>108</v>
      </c>
      <c r="D18" s="240"/>
      <c r="E18" s="240"/>
      <c r="F18" s="240"/>
      <c r="G18" s="240"/>
      <c r="H18" s="146" t="s">
        <v>42</v>
      </c>
      <c r="I18" s="143" t="e">
        <f>ROUND(I14*I16,2)</f>
        <v>#VALUE!</v>
      </c>
    </row>
    <row r="19" spans="1:9" ht="18.75" customHeight="1" thickBot="1">
      <c r="C19" s="29"/>
      <c r="D19" s="29"/>
      <c r="F19" s="29"/>
      <c r="G19" s="29"/>
      <c r="H19" s="29"/>
    </row>
    <row r="20" spans="1:9" ht="18.75" customHeight="1" thickBot="1">
      <c r="C20" s="228" t="s">
        <v>98</v>
      </c>
      <c r="D20" s="228"/>
      <c r="E20" s="228"/>
      <c r="F20" s="228"/>
      <c r="G20" s="228"/>
      <c r="H20" s="228"/>
      <c r="I20" s="14" t="str">
        <f>IF(E21="","",VLOOKUP(E21,'DB別表3（削除禁止）'!$E$26:$F$29,2,FALSE))</f>
        <v/>
      </c>
    </row>
    <row r="21" spans="1:9" ht="18.75" customHeight="1">
      <c r="B21" s="69"/>
      <c r="C21" s="231" t="s">
        <v>92</v>
      </c>
      <c r="D21" s="231"/>
      <c r="E21" s="232"/>
      <c r="F21" s="232"/>
      <c r="G21" s="232"/>
      <c r="H21" s="65"/>
      <c r="I21" s="69"/>
    </row>
    <row r="22" spans="1:9" ht="18.75" customHeight="1" thickBot="1">
      <c r="C22" s="29"/>
      <c r="D22" s="29"/>
      <c r="F22" s="29"/>
      <c r="G22" s="29"/>
      <c r="H22" s="29"/>
    </row>
    <row r="23" spans="1:9" ht="18.75" customHeight="1" thickBot="1">
      <c r="C23" s="228" t="s">
        <v>99</v>
      </c>
      <c r="D23" s="228"/>
      <c r="E23" s="228"/>
      <c r="F23" s="228"/>
      <c r="G23" s="228"/>
      <c r="H23" s="228"/>
      <c r="I23" s="142"/>
    </row>
    <row r="24" spans="1:9" ht="18.75" customHeight="1" thickBot="1">
      <c r="C24" s="29"/>
      <c r="D24" s="29"/>
      <c r="F24" s="29"/>
      <c r="G24" s="29"/>
      <c r="H24" s="29"/>
    </row>
    <row r="25" spans="1:9" ht="18.75" customHeight="1" thickBot="1">
      <c r="C25" s="228" t="s">
        <v>100</v>
      </c>
      <c r="D25" s="228"/>
      <c r="E25" s="228"/>
      <c r="F25" s="228"/>
      <c r="G25" s="228"/>
      <c r="H25" s="146" t="s">
        <v>43</v>
      </c>
      <c r="I25" s="143" t="str">
        <f>IF(OR(I20="",I23=""),"",MIN(I20,I23))</f>
        <v/>
      </c>
    </row>
    <row r="26" spans="1:9" ht="18.75" customHeight="1" thickBot="1">
      <c r="C26" s="29"/>
      <c r="D26" s="29"/>
      <c r="F26" s="29"/>
      <c r="G26" s="29"/>
      <c r="H26" s="29"/>
    </row>
    <row r="27" spans="1:9" ht="18.75" customHeight="1" thickBot="1">
      <c r="C27" s="240" t="s">
        <v>107</v>
      </c>
      <c r="D27" s="240"/>
      <c r="E27" s="240"/>
      <c r="F27" s="240"/>
      <c r="G27" s="240"/>
      <c r="H27" s="146" t="s">
        <v>33</v>
      </c>
      <c r="I27" s="145" t="e">
        <f>ROUND(I18*I25,0)</f>
        <v>#VALUE!</v>
      </c>
    </row>
    <row r="28" spans="1:9" s="29" customFormat="1" ht="18.75" customHeight="1">
      <c r="B28" s="229"/>
      <c r="C28" s="229"/>
      <c r="D28" s="229"/>
      <c r="E28" s="229"/>
      <c r="F28" s="229"/>
      <c r="G28" s="2"/>
      <c r="H28" s="2"/>
      <c r="I28" s="6"/>
    </row>
    <row r="29" spans="1:9" ht="18.75" customHeight="1">
      <c r="B29" s="24"/>
      <c r="C29" s="24"/>
      <c r="D29" s="24"/>
      <c r="E29" s="24"/>
      <c r="F29" s="24"/>
      <c r="G29" s="29"/>
      <c r="H29" s="29"/>
    </row>
    <row r="30" spans="1:9" ht="18.75" customHeight="1">
      <c r="A30" s="2" t="s">
        <v>34</v>
      </c>
      <c r="B30" s="238" t="s">
        <v>137</v>
      </c>
      <c r="C30" s="238"/>
      <c r="D30" s="238"/>
      <c r="E30" s="238"/>
      <c r="F30" s="238"/>
      <c r="G30" s="238"/>
      <c r="H30" s="238"/>
      <c r="I30" s="238"/>
    </row>
    <row r="31" spans="1:9" ht="18.75" customHeight="1">
      <c r="B31" s="238" t="s">
        <v>138</v>
      </c>
      <c r="C31" s="238"/>
      <c r="D31" s="238"/>
      <c r="E31" s="238"/>
      <c r="F31" s="238"/>
      <c r="G31" s="238"/>
      <c r="H31" s="238"/>
      <c r="I31" s="238"/>
    </row>
    <row r="32" spans="1:9" ht="18.75" customHeight="1">
      <c r="B32" s="3"/>
      <c r="C32" s="3"/>
      <c r="D32" s="3"/>
      <c r="E32" s="33"/>
      <c r="F32" s="3"/>
      <c r="G32" s="3"/>
      <c r="H32" s="3"/>
      <c r="I32" s="4"/>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mergeCells count="21">
    <mergeCell ref="B28:F28"/>
    <mergeCell ref="B30:I30"/>
    <mergeCell ref="B31:I31"/>
    <mergeCell ref="C12:H12"/>
    <mergeCell ref="C14:H14"/>
    <mergeCell ref="C16:H16"/>
    <mergeCell ref="C20:H20"/>
    <mergeCell ref="C23:H23"/>
    <mergeCell ref="C8:H8"/>
    <mergeCell ref="C5:E5"/>
    <mergeCell ref="C18:G18"/>
    <mergeCell ref="C27:G27"/>
    <mergeCell ref="G1:I1"/>
    <mergeCell ref="B2:I2"/>
    <mergeCell ref="C4:D4"/>
    <mergeCell ref="C6:I6"/>
    <mergeCell ref="C25:G25"/>
    <mergeCell ref="C21:D21"/>
    <mergeCell ref="E21:G21"/>
    <mergeCell ref="C9:D9"/>
    <mergeCell ref="C10:I10"/>
  </mergeCells>
  <phoneticPr fontId="1"/>
  <conditionalFormatting sqref="I12">
    <cfRule type="expression" dxfId="207" priority="9">
      <formula>IF(RIGHT(TEXT($I12,"0.#"),1)=".",FALSE,TRUE)</formula>
    </cfRule>
    <cfRule type="expression" dxfId="206" priority="10">
      <formula>IF(RIGHT(TEXT($I12,"0.#"),1)=".",TRUE,FALSE)</formula>
    </cfRule>
  </conditionalFormatting>
  <conditionalFormatting sqref="I14">
    <cfRule type="expression" dxfId="205" priority="7">
      <formula>IF(RIGHT(TEXT($I14,"0.#"),1)=".",FALSE,TRUE)</formula>
    </cfRule>
    <cfRule type="expression" dxfId="204" priority="8">
      <formula>IF(RIGHT(TEXT($I14,"0.#"),1)=".",TRUE,FALSE)</formula>
    </cfRule>
  </conditionalFormatting>
  <conditionalFormatting sqref="I18">
    <cfRule type="expression" dxfId="203" priority="5">
      <formula>IF(RIGHT(TEXT($I18,"0.#"),1)=".",FALSE,TRUE)</formula>
    </cfRule>
    <cfRule type="expression" dxfId="202" priority="6">
      <formula>IF(RIGHT(TEXT($I18,"0.#"),1)=".",TRUE,FALSE)</formula>
    </cfRule>
  </conditionalFormatting>
  <conditionalFormatting sqref="I25">
    <cfRule type="expression" dxfId="201" priority="3">
      <formula>IF(RIGHT(TEXT($I25,"0.#"),1)=".",FALSE,TRUE)</formula>
    </cfRule>
    <cfRule type="expression" dxfId="200" priority="4">
      <formula>IF(RIGHT(TEXT($I25,"0.#"),1)=".",TRUE,FALSE)</formula>
    </cfRule>
  </conditionalFormatting>
  <conditionalFormatting sqref="I23">
    <cfRule type="expression" dxfId="199" priority="1">
      <formula>IF(RIGHT(TEXT($I23,"0.#"),1)=".",FALSE,TRUE)</formula>
    </cfRule>
    <cfRule type="expression" dxfId="198" priority="2">
      <formula>IF(RIGHT(TEXT($I23,"0.#"),1)=".",TRUE,FALSE)</formula>
    </cfRule>
  </conditionalFormatting>
  <dataValidations count="1">
    <dataValidation type="whole" allowBlank="1" showInputMessage="1" showErrorMessage="1" sqref="E9">
      <formula1>1</formula1>
      <formula2>10</formula2>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'DB別表3（削除禁止）'!$E$26:$E$29</xm:f>
          </x14:formula1>
          <xm:sqref>E21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63"/>
  <sheetViews>
    <sheetView view="pageBreakPreview" zoomScale="85" zoomScaleNormal="85" zoomScaleSheetLayoutView="85" workbookViewId="0">
      <selection activeCell="C6" sqref="C6:F6"/>
    </sheetView>
  </sheetViews>
  <sheetFormatPr defaultColWidth="9" defaultRowHeight="13"/>
  <cols>
    <col min="1" max="1" width="1.26953125" style="2" customWidth="1"/>
    <col min="2" max="2" width="13.9062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233" t="s">
        <v>38</v>
      </c>
      <c r="G1" s="233"/>
      <c r="H1" s="233"/>
      <c r="I1" s="233"/>
    </row>
    <row r="2" spans="2:9" ht="40.5" customHeight="1">
      <c r="B2" s="234" t="s">
        <v>327</v>
      </c>
      <c r="C2" s="234"/>
      <c r="D2" s="234"/>
      <c r="E2" s="234"/>
      <c r="F2" s="234"/>
      <c r="G2" s="234"/>
      <c r="H2" s="234"/>
      <c r="I2" s="234"/>
    </row>
    <row r="3" spans="2:9" ht="18.75" customHeight="1">
      <c r="B3" s="3"/>
      <c r="C3" s="3"/>
      <c r="D3" s="3"/>
      <c r="E3" s="3"/>
      <c r="F3" s="3"/>
      <c r="G3" s="33"/>
      <c r="H3" s="3"/>
      <c r="I3" s="4"/>
    </row>
    <row r="4" spans="2:9" ht="18.75" customHeight="1">
      <c r="B4" s="9" t="s">
        <v>32</v>
      </c>
      <c r="C4" s="237"/>
      <c r="D4" s="237"/>
      <c r="E4" s="10"/>
      <c r="F4" s="10"/>
      <c r="G4" s="10"/>
      <c r="H4" s="10"/>
      <c r="I4" s="10"/>
    </row>
    <row r="5" spans="2:9" ht="18.75" customHeight="1">
      <c r="B5" s="9" t="s">
        <v>30</v>
      </c>
      <c r="C5" s="236"/>
      <c r="D5" s="236"/>
      <c r="E5" s="236"/>
      <c r="F5" s="5"/>
      <c r="G5" s="30"/>
      <c r="H5" s="5"/>
      <c r="I5" s="5"/>
    </row>
    <row r="6" spans="2:9" ht="18.75" customHeight="1">
      <c r="B6" s="9" t="s">
        <v>29</v>
      </c>
      <c r="C6" s="235" t="s">
        <v>90</v>
      </c>
      <c r="D6" s="235"/>
      <c r="E6" s="235"/>
      <c r="F6" s="235"/>
      <c r="G6" s="235"/>
      <c r="H6" s="235"/>
      <c r="I6" s="235"/>
    </row>
    <row r="7" spans="2:9" ht="18.75" customHeight="1">
      <c r="B7" s="9" t="s">
        <v>65</v>
      </c>
      <c r="C7" s="5" t="s">
        <v>91</v>
      </c>
      <c r="D7" s="5"/>
      <c r="E7" s="5"/>
      <c r="F7" s="19"/>
      <c r="G7" s="25"/>
      <c r="H7" s="19"/>
      <c r="I7" s="19"/>
    </row>
    <row r="8" spans="2:9" ht="18.75" customHeight="1" thickBot="1"/>
    <row r="9" spans="2:9" ht="18.75" customHeight="1" thickBot="1">
      <c r="C9" s="228" t="s">
        <v>27</v>
      </c>
      <c r="D9" s="228"/>
      <c r="E9" s="228"/>
      <c r="F9" s="228"/>
      <c r="G9" s="228"/>
      <c r="H9" s="228"/>
      <c r="I9" s="14">
        <f>'DB（削除禁止）'!BC5</f>
        <v>300</v>
      </c>
    </row>
    <row r="10" spans="2:9" ht="18.75" customHeight="1" thickBot="1"/>
    <row r="11" spans="2:9" ht="18.75" customHeight="1" thickBot="1">
      <c r="C11" s="228" t="s">
        <v>28</v>
      </c>
      <c r="D11" s="228"/>
      <c r="E11" s="228"/>
      <c r="F11" s="228"/>
      <c r="G11" s="228"/>
      <c r="H11" s="228"/>
      <c r="I11" s="142"/>
    </row>
    <row r="12" spans="2:9" ht="18.75" customHeight="1" thickBot="1"/>
    <row r="13" spans="2:9" ht="18.75" customHeight="1" thickBot="1">
      <c r="C13" s="228" t="s">
        <v>40</v>
      </c>
      <c r="D13" s="228"/>
      <c r="E13" s="228"/>
      <c r="F13" s="228"/>
      <c r="G13" s="228"/>
      <c r="H13" s="228"/>
      <c r="I13" s="143" t="str">
        <f>IF(I11="","",MIN(I9,I11))</f>
        <v/>
      </c>
    </row>
    <row r="14" spans="2:9" ht="18.75" customHeight="1" thickBot="1">
      <c r="I14" s="2"/>
    </row>
    <row r="15" spans="2:9" ht="18.75" customHeight="1" thickBot="1">
      <c r="C15" s="228" t="s">
        <v>41</v>
      </c>
      <c r="D15" s="228"/>
      <c r="E15" s="228"/>
      <c r="F15" s="228"/>
      <c r="G15" s="228"/>
      <c r="H15" s="228"/>
      <c r="I15" s="8"/>
    </row>
    <row r="16" spans="2:9" ht="18.75" customHeight="1" thickBot="1"/>
    <row r="17" spans="1:9" ht="18.75" customHeight="1" thickBot="1">
      <c r="C17" s="240" t="s">
        <v>108</v>
      </c>
      <c r="D17" s="240"/>
      <c r="E17" s="240"/>
      <c r="F17" s="240"/>
      <c r="G17" s="240"/>
      <c r="H17" s="146" t="s">
        <v>42</v>
      </c>
      <c r="I17" s="143" t="e">
        <f>ROUND(I13*I15,2)</f>
        <v>#VALUE!</v>
      </c>
    </row>
    <row r="18" spans="1:9" ht="18.75" customHeight="1" thickBot="1">
      <c r="C18" s="29"/>
      <c r="D18" s="29"/>
      <c r="E18" s="29"/>
      <c r="F18" s="29"/>
      <c r="H18" s="29"/>
    </row>
    <row r="19" spans="1:9" ht="18.75" customHeight="1" thickBot="1">
      <c r="C19" s="228" t="s">
        <v>98</v>
      </c>
      <c r="D19" s="228"/>
      <c r="E19" s="228"/>
      <c r="F19" s="228"/>
      <c r="G19" s="228"/>
      <c r="H19" s="228"/>
      <c r="I19" s="14" t="str">
        <f>IF(E20="","",VLOOKUP(E20,'DB別表3（削除禁止）'!$E$33:$F$34,2,FALSE))</f>
        <v/>
      </c>
    </row>
    <row r="20" spans="1:9" s="60" customFormat="1" ht="18.75" customHeight="1">
      <c r="C20" s="231" t="s">
        <v>205</v>
      </c>
      <c r="D20" s="231"/>
      <c r="E20" s="232"/>
      <c r="F20" s="232"/>
      <c r="G20" s="69"/>
      <c r="H20" s="57"/>
      <c r="I20" s="132"/>
    </row>
    <row r="21" spans="1:9" ht="18.75" customHeight="1" thickBot="1">
      <c r="C21" s="29"/>
      <c r="D21" s="29"/>
      <c r="E21" s="29"/>
      <c r="F21" s="29"/>
      <c r="H21" s="29"/>
    </row>
    <row r="22" spans="1:9" ht="18.75" customHeight="1" thickBot="1">
      <c r="C22" s="228" t="s">
        <v>99</v>
      </c>
      <c r="D22" s="228"/>
      <c r="E22" s="228"/>
      <c r="F22" s="228"/>
      <c r="G22" s="228"/>
      <c r="H22" s="228"/>
      <c r="I22" s="142"/>
    </row>
    <row r="23" spans="1:9" ht="18.75" customHeight="1" thickBot="1">
      <c r="C23" s="29"/>
      <c r="D23" s="29"/>
      <c r="E23" s="29"/>
      <c r="F23" s="29"/>
      <c r="H23" s="29"/>
    </row>
    <row r="24" spans="1:9" ht="18.75" customHeight="1" thickBot="1">
      <c r="C24" s="228" t="s">
        <v>100</v>
      </c>
      <c r="D24" s="228"/>
      <c r="E24" s="228"/>
      <c r="F24" s="228"/>
      <c r="G24" s="228"/>
      <c r="H24" s="146" t="s">
        <v>43</v>
      </c>
      <c r="I24" s="143" t="str">
        <f>IF(OR(I19="",I22=""),"",MIN(I19,I22))</f>
        <v/>
      </c>
    </row>
    <row r="25" spans="1:9" ht="18.75" customHeight="1" thickBot="1">
      <c r="C25" s="29"/>
      <c r="D25" s="29"/>
      <c r="E25" s="29"/>
      <c r="F25" s="29"/>
      <c r="H25" s="29"/>
    </row>
    <row r="26" spans="1:9" ht="18.75" customHeight="1" thickBot="1">
      <c r="C26" s="240" t="s">
        <v>107</v>
      </c>
      <c r="D26" s="240"/>
      <c r="E26" s="240"/>
      <c r="F26" s="240"/>
      <c r="G26" s="240"/>
      <c r="H26" s="146" t="s">
        <v>33</v>
      </c>
      <c r="I26" s="145" t="e">
        <f>ROUND(I17*I24,0)</f>
        <v>#VALUE!</v>
      </c>
    </row>
    <row r="27" spans="1:9" ht="18.75" customHeight="1">
      <c r="B27" s="229"/>
      <c r="C27" s="229"/>
      <c r="D27" s="229"/>
      <c r="E27" s="229"/>
    </row>
    <row r="28" spans="1:9" s="29" customFormat="1" ht="18.75" customHeight="1">
      <c r="B28" s="24"/>
      <c r="C28" s="24"/>
      <c r="D28" s="24"/>
      <c r="E28" s="24"/>
      <c r="I28" s="6"/>
    </row>
    <row r="29" spans="1:9" ht="18.75" customHeight="1">
      <c r="B29" s="238" t="s">
        <v>137</v>
      </c>
      <c r="C29" s="238"/>
      <c r="D29" s="238"/>
      <c r="E29" s="238"/>
      <c r="F29" s="238"/>
      <c r="G29" s="238"/>
      <c r="H29" s="238"/>
      <c r="I29" s="238"/>
    </row>
    <row r="30" spans="1:9" ht="18.75" customHeight="1">
      <c r="A30" s="2" t="s">
        <v>34</v>
      </c>
      <c r="B30" s="238" t="s">
        <v>138</v>
      </c>
      <c r="C30" s="238"/>
      <c r="D30" s="238"/>
      <c r="E30" s="238"/>
      <c r="F30" s="238"/>
      <c r="G30" s="238"/>
      <c r="H30" s="238"/>
      <c r="I30" s="238"/>
    </row>
    <row r="31" spans="1:9" ht="18.75" customHeight="1">
      <c r="B31" s="3"/>
      <c r="C31" s="3"/>
      <c r="D31" s="3"/>
      <c r="E31" s="3"/>
      <c r="F31" s="3"/>
      <c r="G31" s="33"/>
      <c r="H31" s="3"/>
      <c r="I31" s="4"/>
    </row>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sheetData>
  <mergeCells count="19">
    <mergeCell ref="B27:E27"/>
    <mergeCell ref="B29:I29"/>
    <mergeCell ref="B30:I30"/>
    <mergeCell ref="C11:H11"/>
    <mergeCell ref="C13:H13"/>
    <mergeCell ref="C15:H15"/>
    <mergeCell ref="C19:H19"/>
    <mergeCell ref="C22:H22"/>
    <mergeCell ref="C20:D20"/>
    <mergeCell ref="C9:H9"/>
    <mergeCell ref="C17:G17"/>
    <mergeCell ref="C24:G24"/>
    <mergeCell ref="C26:G26"/>
    <mergeCell ref="F1:I1"/>
    <mergeCell ref="B2:I2"/>
    <mergeCell ref="C4:D4"/>
    <mergeCell ref="C5:E5"/>
    <mergeCell ref="C6:I6"/>
    <mergeCell ref="E20:F20"/>
  </mergeCells>
  <phoneticPr fontId="1"/>
  <conditionalFormatting sqref="I11">
    <cfRule type="expression" dxfId="197" priority="9">
      <formula>IF(RIGHT(TEXT($I11,"0.#"),1)=".",FALSE,TRUE)</formula>
    </cfRule>
    <cfRule type="expression" dxfId="196" priority="10">
      <formula>IF(RIGHT(TEXT($I11,"0.#"),1)=".",TRUE,FALSE)</formula>
    </cfRule>
  </conditionalFormatting>
  <conditionalFormatting sqref="I13">
    <cfRule type="expression" dxfId="195" priority="7">
      <formula>IF(RIGHT(TEXT($I13,"0.#"),1)=".",FALSE,TRUE)</formula>
    </cfRule>
    <cfRule type="expression" dxfId="194" priority="8">
      <formula>IF(RIGHT(TEXT($I13,"0.#"),1)=".",TRUE,FALSE)</formula>
    </cfRule>
  </conditionalFormatting>
  <conditionalFormatting sqref="I17">
    <cfRule type="expression" dxfId="193" priority="5">
      <formula>IF(RIGHT(TEXT($I17,"0.#"),1)=".",FALSE,TRUE)</formula>
    </cfRule>
    <cfRule type="expression" dxfId="192" priority="6">
      <formula>IF(RIGHT(TEXT($I17,"0.#"),1)=".",TRUE,FALSE)</formula>
    </cfRule>
  </conditionalFormatting>
  <conditionalFormatting sqref="I24">
    <cfRule type="expression" dxfId="191" priority="3">
      <formula>IF(RIGHT(TEXT($I24,"0.#"),1)=".",FALSE,TRUE)</formula>
    </cfRule>
    <cfRule type="expression" dxfId="190" priority="4">
      <formula>IF(RIGHT(TEXT($I24,"0.#"),1)=".",TRUE,FALSE)</formula>
    </cfRule>
  </conditionalFormatting>
  <conditionalFormatting sqref="I22">
    <cfRule type="expression" dxfId="189" priority="1">
      <formula>IF(RIGHT(TEXT($I22,"0.#"),1)=".",FALSE,TRUE)</formula>
    </cfRule>
    <cfRule type="expression" dxfId="188" priority="2">
      <formula>IF(RIGHT(TEXT($I22,"0.#"),1)=".",TRUE,FALSE)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'DB別表3（削除禁止）'!$E$33:$E$34</xm:f>
          </x14:formula1>
          <xm:sqref>E20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69"/>
  <sheetViews>
    <sheetView view="pageBreakPreview" zoomScale="85" zoomScaleNormal="85" zoomScaleSheetLayoutView="85" workbookViewId="0">
      <selection activeCell="C6" sqref="C6:F6"/>
    </sheetView>
  </sheetViews>
  <sheetFormatPr defaultColWidth="9" defaultRowHeight="13"/>
  <cols>
    <col min="1" max="1" width="1.26953125" style="2" customWidth="1"/>
    <col min="2" max="2" width="13.90625" style="2" bestFit="1" customWidth="1"/>
    <col min="3" max="3" width="14" style="2" customWidth="1"/>
    <col min="4" max="4" width="9" style="2" customWidth="1"/>
    <col min="5" max="5" width="9" style="29" customWidth="1"/>
    <col min="6" max="8" width="9" style="2" customWidth="1"/>
    <col min="9" max="9" width="15" style="6" customWidth="1"/>
    <col min="10" max="16384" width="9" style="2"/>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3"/>
      <c r="C3" s="3"/>
      <c r="D3" s="3"/>
      <c r="E3" s="33"/>
      <c r="F3" s="3"/>
      <c r="G3" s="3"/>
      <c r="H3" s="3"/>
      <c r="I3" s="4"/>
    </row>
    <row r="4" spans="2:9" ht="18.75" customHeight="1">
      <c r="B4" s="9" t="s">
        <v>32</v>
      </c>
      <c r="C4" s="237"/>
      <c r="D4" s="237"/>
      <c r="E4" s="10"/>
      <c r="F4" s="10"/>
      <c r="G4" s="10"/>
      <c r="H4" s="10"/>
      <c r="I4" s="10"/>
    </row>
    <row r="5" spans="2:9" ht="18.75" customHeight="1">
      <c r="B5" s="9" t="s">
        <v>30</v>
      </c>
      <c r="C5" s="236"/>
      <c r="D5" s="236"/>
      <c r="E5" s="236"/>
      <c r="F5" s="30"/>
      <c r="G5" s="5"/>
      <c r="H5" s="5"/>
      <c r="I5" s="5"/>
    </row>
    <row r="6" spans="2:9" ht="18.75" customHeight="1">
      <c r="B6" s="9" t="s">
        <v>29</v>
      </c>
      <c r="C6" s="235" t="s">
        <v>90</v>
      </c>
      <c r="D6" s="235"/>
      <c r="E6" s="235"/>
      <c r="F6" s="235"/>
      <c r="G6" s="235"/>
      <c r="H6" s="235"/>
      <c r="I6" s="235"/>
    </row>
    <row r="7" spans="2:9" ht="18.75" customHeight="1">
      <c r="B7" s="9" t="s">
        <v>65</v>
      </c>
      <c r="C7" s="5" t="s">
        <v>25</v>
      </c>
      <c r="D7" s="5"/>
      <c r="E7" s="30"/>
      <c r="F7" s="5"/>
      <c r="G7" s="5"/>
      <c r="H7" s="5"/>
      <c r="I7" s="5"/>
    </row>
    <row r="8" spans="2:9" ht="18.75" customHeight="1" thickBot="1"/>
    <row r="9" spans="2:9" ht="18.75" customHeight="1" thickBot="1">
      <c r="C9" s="228" t="s">
        <v>27</v>
      </c>
      <c r="D9" s="228"/>
      <c r="E9" s="228"/>
      <c r="F9" s="228"/>
      <c r="G9" s="228"/>
      <c r="H9" s="228"/>
      <c r="I9" s="143" t="str">
        <f>IF(OR(E10="",E13=""),"",IF(E10&gt;=50,50*VLOOKUP(E13,'DB（削除禁止）'!$BC$12:$BD$13,2,FALSE),E10*VLOOKUP(E13,'DB（削除禁止）'!$BC$12:$BD$13,2,FALSE)))</f>
        <v/>
      </c>
    </row>
    <row r="10" spans="2:9" ht="18.75" customHeight="1" thickBot="1">
      <c r="C10" s="231" t="s">
        <v>68</v>
      </c>
      <c r="D10" s="245"/>
      <c r="E10" s="31"/>
      <c r="G10" s="18"/>
      <c r="I10" s="2"/>
    </row>
    <row r="11" spans="2:9" s="69" customFormat="1" ht="18.75" customHeight="1">
      <c r="C11" s="249" t="str">
        <f>"※基準面積の算出に用いる病床数は"&amp;'DB（削除禁止）'!BC9&amp;"床を限度とする。"</f>
        <v>※基準面積の算出に用いる病床数は50床を限度とする。</v>
      </c>
      <c r="D11" s="249"/>
      <c r="E11" s="249"/>
      <c r="F11" s="249"/>
      <c r="G11" s="249"/>
      <c r="H11" s="249"/>
      <c r="I11" s="249"/>
    </row>
    <row r="12" spans="2:9" ht="18.75" customHeight="1" thickBot="1">
      <c r="C12" s="21"/>
      <c r="D12" s="26"/>
      <c r="E12" s="35"/>
      <c r="F12" s="21"/>
      <c r="G12" s="18"/>
      <c r="I12" s="2"/>
    </row>
    <row r="13" spans="2:9" ht="18.75" customHeight="1" thickBot="1">
      <c r="C13" s="231" t="s">
        <v>92</v>
      </c>
      <c r="D13" s="231"/>
      <c r="E13" s="250"/>
      <c r="F13" s="251"/>
      <c r="G13" s="252"/>
      <c r="H13" s="50"/>
      <c r="I13" s="2"/>
    </row>
    <row r="14" spans="2:9" ht="18.75" customHeight="1" thickBot="1">
      <c r="C14" s="21"/>
      <c r="D14" s="21"/>
      <c r="E14" s="26"/>
      <c r="F14" s="18"/>
      <c r="G14" s="18"/>
      <c r="H14" s="18"/>
      <c r="I14" s="2"/>
    </row>
    <row r="15" spans="2:9" ht="18.75" customHeight="1" thickBot="1">
      <c r="C15" s="228" t="s">
        <v>28</v>
      </c>
      <c r="D15" s="228"/>
      <c r="E15" s="228"/>
      <c r="F15" s="228"/>
      <c r="G15" s="228"/>
      <c r="H15" s="228"/>
      <c r="I15" s="142"/>
    </row>
    <row r="16" spans="2:9" ht="18.75" customHeight="1" thickBot="1"/>
    <row r="17" spans="2:9" ht="18.75" customHeight="1" thickBot="1">
      <c r="C17" s="228" t="s">
        <v>40</v>
      </c>
      <c r="D17" s="228"/>
      <c r="E17" s="228"/>
      <c r="F17" s="228"/>
      <c r="G17" s="228"/>
      <c r="H17" s="228"/>
      <c r="I17" s="143" t="str">
        <f>IF(OR(E10="",E13="",,I15=""),"",MIN(I9,I15))</f>
        <v/>
      </c>
    </row>
    <row r="18" spans="2:9" ht="18.75" customHeight="1" thickBot="1">
      <c r="I18" s="2"/>
    </row>
    <row r="19" spans="2:9" ht="18.75" customHeight="1" thickBot="1">
      <c r="C19" s="228" t="s">
        <v>41</v>
      </c>
      <c r="D19" s="228"/>
      <c r="E19" s="228"/>
      <c r="F19" s="228"/>
      <c r="G19" s="228"/>
      <c r="H19" s="228"/>
      <c r="I19" s="8"/>
    </row>
    <row r="20" spans="2:9" ht="18.75" customHeight="1" thickBot="1"/>
    <row r="21" spans="2:9" ht="18.75" customHeight="1" thickBot="1">
      <c r="C21" s="240" t="s">
        <v>108</v>
      </c>
      <c r="D21" s="240"/>
      <c r="E21" s="240"/>
      <c r="F21" s="240"/>
      <c r="G21" s="240"/>
      <c r="H21" s="146" t="s">
        <v>42</v>
      </c>
      <c r="I21" s="143" t="e">
        <f>ROUND(I17*I19,2)</f>
        <v>#VALUE!</v>
      </c>
    </row>
    <row r="22" spans="2:9" ht="18.75" customHeight="1" thickBot="1"/>
    <row r="23" spans="2:9" ht="18.75" customHeight="1" thickBot="1">
      <c r="C23" s="228" t="s">
        <v>98</v>
      </c>
      <c r="D23" s="228"/>
      <c r="E23" s="228"/>
      <c r="F23" s="228"/>
      <c r="G23" s="228"/>
      <c r="H23" s="228"/>
      <c r="I23" s="14" t="str">
        <f>IF(E24="","",VLOOKUP(E24,'DB別表3（削除禁止）'!$E$31:$F$32,2,FALSE))</f>
        <v/>
      </c>
    </row>
    <row r="24" spans="2:9" s="60" customFormat="1" ht="18.75" customHeight="1">
      <c r="C24" s="231" t="s">
        <v>92</v>
      </c>
      <c r="D24" s="231"/>
      <c r="E24" s="232"/>
      <c r="F24" s="232"/>
      <c r="G24" s="65"/>
      <c r="H24" s="65"/>
      <c r="I24" s="132"/>
    </row>
    <row r="25" spans="2:9" ht="18.75" customHeight="1" thickBot="1"/>
    <row r="26" spans="2:9" ht="18.75" customHeight="1" thickBot="1">
      <c r="C26" s="228" t="s">
        <v>99</v>
      </c>
      <c r="D26" s="228"/>
      <c r="E26" s="228"/>
      <c r="F26" s="228"/>
      <c r="G26" s="228"/>
      <c r="H26" s="228"/>
      <c r="I26" s="142"/>
    </row>
    <row r="27" spans="2:9" ht="18.75" customHeight="1" thickBot="1"/>
    <row r="28" spans="2:9" ht="18.75" customHeight="1" thickBot="1">
      <c r="C28" s="228" t="s">
        <v>100</v>
      </c>
      <c r="D28" s="228"/>
      <c r="E28" s="228"/>
      <c r="F28" s="228"/>
      <c r="G28" s="228"/>
      <c r="H28" s="146" t="s">
        <v>43</v>
      </c>
      <c r="I28" s="143" t="str">
        <f>IF(OR(I23="",I26=""),"",MIN(I23,I26))</f>
        <v/>
      </c>
    </row>
    <row r="29" spans="2:9" ht="18.75" customHeight="1" thickBot="1">
      <c r="C29" s="44"/>
      <c r="D29" s="44"/>
      <c r="E29" s="44"/>
      <c r="F29" s="44"/>
      <c r="G29" s="44"/>
      <c r="H29" s="44"/>
    </row>
    <row r="30" spans="2:9" ht="18.75" customHeight="1" thickBot="1">
      <c r="C30" s="240" t="s">
        <v>107</v>
      </c>
      <c r="D30" s="240"/>
      <c r="E30" s="240"/>
      <c r="F30" s="240"/>
      <c r="G30" s="240"/>
      <c r="H30" s="146" t="s">
        <v>33</v>
      </c>
      <c r="I30" s="145" t="e">
        <f>ROUND(I21*I28,0)</f>
        <v>#VALUE!</v>
      </c>
    </row>
    <row r="31" spans="2:9" ht="18.75" customHeight="1">
      <c r="B31" s="229"/>
      <c r="C31" s="229"/>
      <c r="D31" s="229"/>
      <c r="E31" s="229"/>
      <c r="F31" s="229"/>
    </row>
    <row r="32" spans="2:9" s="29" customFormat="1" ht="18.75" customHeight="1">
      <c r="B32" s="24"/>
      <c r="C32" s="24"/>
      <c r="D32" s="24"/>
      <c r="E32" s="24"/>
      <c r="F32" s="24"/>
      <c r="I32" s="6"/>
    </row>
    <row r="33" spans="1:9" ht="18.75" customHeight="1">
      <c r="B33" s="238" t="s">
        <v>137</v>
      </c>
      <c r="C33" s="238"/>
      <c r="D33" s="238"/>
      <c r="E33" s="238"/>
      <c r="F33" s="238"/>
      <c r="G33" s="238"/>
      <c r="H33" s="238"/>
      <c r="I33" s="238"/>
    </row>
    <row r="34" spans="1:9" ht="18.75" customHeight="1">
      <c r="A34" s="2" t="s">
        <v>34</v>
      </c>
      <c r="B34" s="238" t="s">
        <v>138</v>
      </c>
      <c r="C34" s="238"/>
      <c r="D34" s="238"/>
      <c r="E34" s="238"/>
      <c r="F34" s="238"/>
      <c r="G34" s="238"/>
      <c r="H34" s="238"/>
      <c r="I34" s="238"/>
    </row>
    <row r="35" spans="1:9" ht="18.75" customHeight="1">
      <c r="B35" s="3"/>
      <c r="C35" s="3"/>
      <c r="D35" s="3"/>
      <c r="E35" s="33"/>
      <c r="F35" s="3"/>
      <c r="G35" s="3"/>
      <c r="H35" s="3"/>
      <c r="I35" s="4"/>
    </row>
    <row r="36" spans="1:9" ht="18.75" customHeight="1"/>
    <row r="37" spans="1:9" ht="18.75" customHeight="1"/>
    <row r="38" spans="1:9" ht="18.75" customHeight="1"/>
    <row r="39" spans="1:9" ht="18.75" customHeight="1"/>
    <row r="40" spans="1:9" ht="18.75" customHeight="1"/>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sheetData>
  <mergeCells count="23">
    <mergeCell ref="B33:I33"/>
    <mergeCell ref="B34:I34"/>
    <mergeCell ref="C26:H26"/>
    <mergeCell ref="C30:G30"/>
    <mergeCell ref="C23:H23"/>
    <mergeCell ref="E24:F24"/>
    <mergeCell ref="C24:D24"/>
    <mergeCell ref="C28:G28"/>
    <mergeCell ref="B31:F31"/>
    <mergeCell ref="C10:D10"/>
    <mergeCell ref="C13:D13"/>
    <mergeCell ref="E13:G13"/>
    <mergeCell ref="C21:G21"/>
    <mergeCell ref="C9:H9"/>
    <mergeCell ref="C11:I11"/>
    <mergeCell ref="C15:H15"/>
    <mergeCell ref="C17:H17"/>
    <mergeCell ref="C19:H19"/>
    <mergeCell ref="C5:E5"/>
    <mergeCell ref="G1:I1"/>
    <mergeCell ref="B2:I2"/>
    <mergeCell ref="C4:D4"/>
    <mergeCell ref="C6:I6"/>
  </mergeCells>
  <phoneticPr fontId="1"/>
  <conditionalFormatting sqref="I15">
    <cfRule type="expression" dxfId="187" priority="11">
      <formula>IF(RIGHT(TEXT($I15,"0.#"),1)=".",FALSE,TRUE)</formula>
    </cfRule>
    <cfRule type="expression" dxfId="186" priority="12">
      <formula>IF(RIGHT(TEXT($I15,"0.#"),1)=".",TRUE,FALSE)</formula>
    </cfRule>
  </conditionalFormatting>
  <conditionalFormatting sqref="I17">
    <cfRule type="expression" dxfId="185" priority="9">
      <formula>IF(RIGHT(TEXT($I17,"0.#"),1)=".",FALSE,TRUE)</formula>
    </cfRule>
    <cfRule type="expression" dxfId="184" priority="10">
      <formula>IF(RIGHT(TEXT($I17,"0.#"),1)=".",TRUE,FALSE)</formula>
    </cfRule>
  </conditionalFormatting>
  <conditionalFormatting sqref="I21">
    <cfRule type="expression" dxfId="183" priority="7">
      <formula>IF(RIGHT(TEXT($I21,"0.#"),1)=".",FALSE,TRUE)</formula>
    </cfRule>
    <cfRule type="expression" dxfId="182" priority="8">
      <formula>IF(RIGHT(TEXT($I21,"0.#"),1)=".",TRUE,FALSE)</formula>
    </cfRule>
  </conditionalFormatting>
  <conditionalFormatting sqref="I28">
    <cfRule type="expression" dxfId="181" priority="5">
      <formula>IF(RIGHT(TEXT($I28,"0.#"),1)=".",FALSE,TRUE)</formula>
    </cfRule>
    <cfRule type="expression" dxfId="180" priority="6">
      <formula>IF(RIGHT(TEXT($I28,"0.#"),1)=".",TRUE,FALSE)</formula>
    </cfRule>
  </conditionalFormatting>
  <conditionalFormatting sqref="I26">
    <cfRule type="expression" dxfId="179" priority="3">
      <formula>IF(RIGHT(TEXT($I26,"0.#"),1)=".",FALSE,TRUE)</formula>
    </cfRule>
    <cfRule type="expression" dxfId="178" priority="4">
      <formula>IF(RIGHT(TEXT($I26,"0.#"),1)=".",TRUE,FALSE)</formula>
    </cfRule>
  </conditionalFormatting>
  <conditionalFormatting sqref="I9">
    <cfRule type="expression" dxfId="177" priority="1">
      <formula>IF(RIGHT(TEXT($I9,"0.#"),1)=".",FALSE,TRUE)</formula>
    </cfRule>
    <cfRule type="expression" dxfId="176" priority="2">
      <formula>IF(RIGHT(TEXT($I9,"0.#"),1)=".",TRUE,FALSE)</formula>
    </cfRule>
  </conditionalFormatting>
  <dataValidations count="1">
    <dataValidation type="whole" allowBlank="1" showInputMessage="1" showErrorMessage="1" sqref="E10">
      <formula1>1</formula1>
      <formula2>50</formula2>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'DB別表3（削除禁止）'!$E$31:$E$32</xm:f>
          </x14:formula1>
          <xm:sqref>E24</xm:sqref>
        </x14:dataValidation>
        <x14:dataValidation type="list" allowBlank="1" showInputMessage="1" showErrorMessage="1">
          <x14:formula1>
            <xm:f>'DB（削除禁止）'!$BC$12:$BC$13</xm:f>
          </x14:formula1>
          <xm:sqref>E13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09"/>
  <sheetViews>
    <sheetView view="pageBreakPreview" topLeftCell="A22" zoomScale="85" zoomScaleNormal="85" zoomScaleSheetLayoutView="85" workbookViewId="0">
      <selection activeCell="C6" sqref="C6:F6"/>
    </sheetView>
  </sheetViews>
  <sheetFormatPr defaultColWidth="9" defaultRowHeight="13"/>
  <cols>
    <col min="1" max="1" width="1.26953125" style="2" customWidth="1"/>
    <col min="2" max="2" width="13.9062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233" t="s">
        <v>38</v>
      </c>
      <c r="G1" s="233"/>
      <c r="H1" s="233"/>
      <c r="I1" s="233"/>
    </row>
    <row r="2" spans="2:9" ht="40.5" customHeight="1">
      <c r="B2" s="234" t="s">
        <v>327</v>
      </c>
      <c r="C2" s="234"/>
      <c r="D2" s="234"/>
      <c r="E2" s="234"/>
      <c r="F2" s="234"/>
      <c r="G2" s="234"/>
      <c r="H2" s="234"/>
      <c r="I2" s="234"/>
    </row>
    <row r="3" spans="2:9" ht="18.75" customHeight="1">
      <c r="B3" s="3"/>
      <c r="C3" s="3"/>
      <c r="D3" s="3"/>
      <c r="E3" s="3"/>
      <c r="F3" s="3"/>
      <c r="G3" s="33"/>
      <c r="H3" s="3"/>
      <c r="I3" s="4"/>
    </row>
    <row r="4" spans="2:9" ht="18.75" customHeight="1">
      <c r="B4" s="9" t="s">
        <v>32</v>
      </c>
      <c r="C4" s="237"/>
      <c r="D4" s="237"/>
      <c r="E4" s="10"/>
      <c r="F4" s="10"/>
      <c r="G4" s="10"/>
      <c r="H4" s="10"/>
      <c r="I4" s="10"/>
    </row>
    <row r="5" spans="2:9" ht="18.75" customHeight="1">
      <c r="B5" s="9" t="s">
        <v>30</v>
      </c>
      <c r="C5" s="236"/>
      <c r="D5" s="236"/>
      <c r="E5" s="236"/>
      <c r="F5" s="5"/>
      <c r="G5" s="30"/>
      <c r="H5" s="5"/>
      <c r="I5" s="5"/>
    </row>
    <row r="6" spans="2:9" ht="18.75" customHeight="1">
      <c r="B6" s="21" t="s">
        <v>48</v>
      </c>
      <c r="C6" s="246" t="s">
        <v>97</v>
      </c>
      <c r="D6" s="246"/>
      <c r="E6" s="246"/>
      <c r="F6" s="246"/>
      <c r="G6" s="30"/>
      <c r="H6" s="5"/>
      <c r="I6" s="5"/>
    </row>
    <row r="7" spans="2:9" ht="18.75" customHeight="1">
      <c r="B7" s="9" t="s">
        <v>29</v>
      </c>
      <c r="C7" s="235" t="s">
        <v>95</v>
      </c>
      <c r="D7" s="235"/>
      <c r="E7" s="235"/>
      <c r="F7" s="235"/>
      <c r="G7" s="235"/>
      <c r="H7" s="235"/>
      <c r="I7" s="235"/>
    </row>
    <row r="8" spans="2:9" ht="18.75" customHeight="1">
      <c r="B8" s="9" t="s">
        <v>65</v>
      </c>
      <c r="C8" s="242" t="s">
        <v>344</v>
      </c>
      <c r="D8" s="242"/>
      <c r="E8" s="242"/>
      <c r="F8" s="242"/>
      <c r="G8" s="242"/>
      <c r="H8" s="242"/>
      <c r="I8" s="19"/>
    </row>
    <row r="9" spans="2:9" ht="18.75" customHeight="1"/>
    <row r="10" spans="2:9" s="44" customFormat="1" ht="18.75" customHeight="1">
      <c r="C10" s="44" t="s">
        <v>117</v>
      </c>
      <c r="I10" s="6"/>
    </row>
    <row r="11" spans="2:9" s="44" customFormat="1" ht="18.75" customHeight="1" thickBot="1">
      <c r="I11" s="6"/>
    </row>
    <row r="12" spans="2:9" ht="18.75" customHeight="1" thickBot="1">
      <c r="C12" s="44" t="s">
        <v>118</v>
      </c>
      <c r="D12" s="44"/>
      <c r="E12" s="44"/>
      <c r="I12" s="36"/>
    </row>
    <row r="13" spans="2:9" s="29" customFormat="1" ht="18.75" customHeight="1" thickBot="1"/>
    <row r="14" spans="2:9" ht="18.75" customHeight="1" thickBot="1">
      <c r="C14" s="44" t="s">
        <v>116</v>
      </c>
      <c r="D14" s="44"/>
      <c r="E14" s="44"/>
      <c r="F14" s="44"/>
      <c r="I14" s="48">
        <f>IF(C6="","",VLOOKUP(C6,'DB（削除禁止）'!$BH$5:$BI$6,2,FALSE))</f>
        <v>300</v>
      </c>
    </row>
    <row r="15" spans="2:9" s="29" customFormat="1" ht="18.75" customHeight="1" thickBot="1"/>
    <row r="16" spans="2:9" s="44" customFormat="1" ht="18.75" customHeight="1" thickBot="1">
      <c r="C16" s="44" t="s">
        <v>119</v>
      </c>
      <c r="I16" s="48" t="str">
        <f>IF(OR(I12="",I14=""),"",MIN(I12,I14))</f>
        <v/>
      </c>
    </row>
    <row r="17" spans="3:9" s="44" customFormat="1" ht="18.75" customHeight="1">
      <c r="I17" s="6"/>
    </row>
    <row r="18" spans="3:9" s="29" customFormat="1" ht="18.75" customHeight="1">
      <c r="C18" s="228" t="s">
        <v>120</v>
      </c>
      <c r="D18" s="228"/>
      <c r="E18" s="228"/>
      <c r="F18" s="228"/>
      <c r="G18" s="228"/>
      <c r="H18" s="228"/>
      <c r="I18" s="6"/>
    </row>
    <row r="19" spans="3:9" s="29" customFormat="1" ht="18.75" customHeight="1" thickBot="1">
      <c r="I19" s="6"/>
    </row>
    <row r="20" spans="3:9" ht="18.75" customHeight="1" thickBot="1">
      <c r="C20" s="240" t="s">
        <v>109</v>
      </c>
      <c r="D20" s="240"/>
      <c r="E20" s="240"/>
      <c r="F20" s="240"/>
      <c r="G20" s="240"/>
      <c r="H20" s="241"/>
      <c r="I20" s="14" t="str">
        <f>IF(OR(D21="",I12="",I14=""),"",VLOOKUP(D21,'DB（削除禁止）'!$BH$10:$BI$11,2,FALSE)*I16)</f>
        <v/>
      </c>
    </row>
    <row r="21" spans="3:9" ht="18.75" customHeight="1">
      <c r="C21" s="21" t="s">
        <v>48</v>
      </c>
      <c r="D21" s="254"/>
      <c r="E21" s="254"/>
      <c r="F21" s="254"/>
      <c r="G21" s="254"/>
      <c r="H21" s="254"/>
      <c r="I21" s="37"/>
    </row>
    <row r="22" spans="3:9" ht="18.75" customHeight="1">
      <c r="D22" s="254"/>
      <c r="E22" s="254"/>
      <c r="F22" s="254"/>
      <c r="G22" s="254"/>
      <c r="H22" s="254"/>
      <c r="I22" s="37"/>
    </row>
    <row r="23" spans="3:9" ht="18.75" customHeight="1" thickBot="1"/>
    <row r="24" spans="3:9" ht="18.75" customHeight="1" thickBot="1">
      <c r="C24" s="253" t="s">
        <v>110</v>
      </c>
      <c r="D24" s="228"/>
      <c r="E24" s="228"/>
      <c r="F24" s="228"/>
      <c r="G24" s="228"/>
      <c r="H24" s="228"/>
      <c r="I24" s="14" t="str">
        <f>IF(OR(D25="",I12="",I14=""),"",VLOOKUP(D25,'DB（削除禁止）'!$BH$12:$BI$13,2,FALSE)*I16)</f>
        <v/>
      </c>
    </row>
    <row r="25" spans="3:9" ht="18.75" customHeight="1">
      <c r="C25" s="26" t="s">
        <v>48</v>
      </c>
      <c r="D25" s="254"/>
      <c r="E25" s="254"/>
      <c r="F25" s="254"/>
      <c r="G25" s="254"/>
      <c r="H25" s="254"/>
      <c r="I25" s="37"/>
    </row>
    <row r="26" spans="3:9" ht="18.75" customHeight="1">
      <c r="C26" s="29"/>
      <c r="D26" s="254"/>
      <c r="E26" s="254"/>
      <c r="F26" s="254"/>
      <c r="G26" s="254"/>
      <c r="H26" s="254"/>
      <c r="I26" s="37"/>
    </row>
    <row r="27" spans="3:9" ht="18.75" customHeight="1">
      <c r="C27" s="257" t="s">
        <v>309</v>
      </c>
      <c r="D27" s="257"/>
      <c r="E27" s="257"/>
      <c r="F27" s="257"/>
      <c r="G27" s="257"/>
      <c r="H27" s="257"/>
      <c r="I27" s="257"/>
    </row>
    <row r="28" spans="3:9" ht="18.75" customHeight="1">
      <c r="C28" s="37"/>
      <c r="D28" s="37"/>
      <c r="E28" s="37"/>
      <c r="F28" s="37"/>
      <c r="G28" s="37"/>
      <c r="H28" s="37"/>
      <c r="I28" s="37"/>
    </row>
    <row r="29" spans="3:9" ht="18.75" customHeight="1">
      <c r="C29" s="228" t="s">
        <v>121</v>
      </c>
      <c r="D29" s="228"/>
      <c r="E29" s="228"/>
      <c r="F29" s="228"/>
      <c r="G29" s="228"/>
      <c r="H29" s="228"/>
      <c r="I29" s="44"/>
    </row>
    <row r="30" spans="3:9" ht="18.75" customHeight="1" thickBot="1"/>
    <row r="31" spans="3:9" s="44" customFormat="1" ht="18.75" customHeight="1" thickBot="1">
      <c r="C31" s="228" t="s">
        <v>111</v>
      </c>
      <c r="D31" s="228"/>
      <c r="E31" s="228"/>
      <c r="F31" s="228"/>
      <c r="G31" s="228"/>
      <c r="H31" s="228"/>
      <c r="I31" s="142"/>
    </row>
    <row r="32" spans="3:9" s="44" customFormat="1" ht="18.75" customHeight="1" thickBot="1">
      <c r="I32" s="6"/>
    </row>
    <row r="33" spans="3:9" s="44" customFormat="1" ht="18.75" customHeight="1" thickBot="1">
      <c r="C33" s="253" t="s">
        <v>139</v>
      </c>
      <c r="D33" s="228"/>
      <c r="E33" s="228"/>
      <c r="F33" s="228"/>
      <c r="G33" s="228"/>
      <c r="H33" s="228"/>
      <c r="I33" s="142"/>
    </row>
    <row r="34" spans="3:9" s="44" customFormat="1" ht="18.75" customHeight="1">
      <c r="I34" s="6"/>
    </row>
    <row r="35" spans="3:9" ht="18.75" customHeight="1">
      <c r="C35" s="228" t="s">
        <v>122</v>
      </c>
      <c r="D35" s="228"/>
      <c r="E35" s="228"/>
      <c r="F35" s="228"/>
      <c r="G35" s="228"/>
      <c r="H35" s="228"/>
      <c r="I35" s="44"/>
    </row>
    <row r="36" spans="3:9" ht="18.75" customHeight="1" thickBot="1">
      <c r="I36" s="2"/>
    </row>
    <row r="37" spans="3:9" s="44" customFormat="1" ht="18.75" customHeight="1" thickBot="1">
      <c r="C37" s="228" t="s">
        <v>109</v>
      </c>
      <c r="D37" s="228"/>
      <c r="E37" s="228"/>
      <c r="F37" s="228"/>
      <c r="G37" s="228"/>
      <c r="H37" s="228"/>
      <c r="I37" s="143">
        <f>MIN(I20,I31)</f>
        <v>0</v>
      </c>
    </row>
    <row r="38" spans="3:9" s="44" customFormat="1" ht="18.75" customHeight="1" thickBot="1"/>
    <row r="39" spans="3:9" s="44" customFormat="1" ht="18.75" customHeight="1" thickBot="1">
      <c r="C39" s="253" t="s">
        <v>110</v>
      </c>
      <c r="D39" s="228"/>
      <c r="E39" s="228"/>
      <c r="F39" s="228"/>
      <c r="G39" s="228"/>
      <c r="H39" s="228"/>
      <c r="I39" s="143">
        <f>MIN(I24,I33)</f>
        <v>0</v>
      </c>
    </row>
    <row r="40" spans="3:9" s="44" customFormat="1" ht="18.75" customHeight="1" thickBot="1"/>
    <row r="41" spans="3:9" s="44" customFormat="1" ht="18.75" customHeight="1" thickBot="1">
      <c r="H41" s="27" t="s">
        <v>134</v>
      </c>
      <c r="I41" s="143">
        <f>SUM(I37,I39)</f>
        <v>0</v>
      </c>
    </row>
    <row r="42" spans="3:9" s="44" customFormat="1" ht="18.75" customHeight="1" thickBot="1"/>
    <row r="43" spans="3:9" ht="18.75" customHeight="1" thickBot="1">
      <c r="C43" s="228" t="s">
        <v>123</v>
      </c>
      <c r="D43" s="228"/>
      <c r="E43" s="228"/>
      <c r="F43" s="228"/>
      <c r="G43" s="228"/>
      <c r="H43" s="228"/>
      <c r="I43" s="8"/>
    </row>
    <row r="44" spans="3:9" ht="18.75" customHeight="1" thickBot="1"/>
    <row r="45" spans="3:9" ht="18.75" customHeight="1" thickBot="1">
      <c r="C45" s="240" t="s">
        <v>124</v>
      </c>
      <c r="D45" s="240"/>
      <c r="E45" s="240"/>
      <c r="F45" s="240"/>
      <c r="G45" s="240"/>
      <c r="H45" s="146" t="s">
        <v>42</v>
      </c>
      <c r="I45" s="143">
        <f>ROUND((I37+I39)*I43,2)</f>
        <v>0</v>
      </c>
    </row>
    <row r="46" spans="3:9" ht="18.75" customHeight="1" thickBot="1"/>
    <row r="47" spans="3:9" ht="18.75" customHeight="1" thickBot="1">
      <c r="C47" s="228" t="s">
        <v>125</v>
      </c>
      <c r="D47" s="228"/>
      <c r="E47" s="228"/>
      <c r="F47" s="228"/>
      <c r="G47" s="228"/>
      <c r="H47" s="228"/>
      <c r="I47" s="14" t="str">
        <f>IF(E48="","",VLOOKUP(E48,'DB別表3（削除禁止）'!$E$38:$F$39,2,FALSE))</f>
        <v/>
      </c>
    </row>
    <row r="48" spans="3:9" s="60" customFormat="1" ht="18.75" customHeight="1">
      <c r="C48" s="231" t="s">
        <v>205</v>
      </c>
      <c r="D48" s="231"/>
      <c r="E48" s="232"/>
      <c r="F48" s="232"/>
      <c r="H48" s="57"/>
    </row>
    <row r="49" spans="2:9" ht="18.75" customHeight="1" thickBot="1">
      <c r="C49" s="44"/>
      <c r="D49" s="44"/>
      <c r="E49" s="44"/>
      <c r="F49" s="44"/>
      <c r="G49" s="44"/>
      <c r="H49" s="44"/>
    </row>
    <row r="50" spans="2:9" ht="18.75" customHeight="1" thickBot="1">
      <c r="C50" s="228" t="s">
        <v>126</v>
      </c>
      <c r="D50" s="228"/>
      <c r="E50" s="228"/>
      <c r="F50" s="228"/>
      <c r="G50" s="228"/>
      <c r="H50" s="228"/>
      <c r="I50" s="144"/>
    </row>
    <row r="51" spans="2:9" ht="18.75" customHeight="1" thickBot="1">
      <c r="C51" s="44"/>
      <c r="D51" s="44"/>
      <c r="E51" s="44"/>
      <c r="F51" s="44"/>
      <c r="G51" s="44"/>
      <c r="H51" s="44"/>
    </row>
    <row r="52" spans="2:9" ht="18.75" customHeight="1" thickBot="1">
      <c r="C52" s="228" t="s">
        <v>127</v>
      </c>
      <c r="D52" s="228"/>
      <c r="E52" s="228"/>
      <c r="F52" s="228"/>
      <c r="G52" s="228"/>
      <c r="H52" s="146" t="s">
        <v>43</v>
      </c>
      <c r="I52" s="106" t="str">
        <f>IF(OR(I47="",I50=""),"",MIN(I47,I50))</f>
        <v/>
      </c>
    </row>
    <row r="53" spans="2:9" ht="18.75" customHeight="1" thickBot="1">
      <c r="C53" s="44"/>
      <c r="D53" s="44"/>
      <c r="E53" s="44"/>
      <c r="F53" s="44"/>
      <c r="G53" s="44"/>
      <c r="H53" s="44"/>
    </row>
    <row r="54" spans="2:9" s="44" customFormat="1" ht="18.75" customHeight="1" thickBot="1">
      <c r="C54" s="240" t="s">
        <v>128</v>
      </c>
      <c r="D54" s="240"/>
      <c r="E54" s="240"/>
      <c r="F54" s="240"/>
      <c r="G54" s="240"/>
      <c r="I54" s="14" t="str">
        <f>IF(OR(D21="",I16=""),"",IF(D55='DB（削除禁止）'!BH17,'DB（削除禁止）'!BI17*I16*I43,0))</f>
        <v/>
      </c>
    </row>
    <row r="55" spans="2:9" s="44" customFormat="1" ht="18.75" customHeight="1">
      <c r="C55" s="42" t="s">
        <v>48</v>
      </c>
      <c r="D55" s="256"/>
      <c r="E55" s="256"/>
      <c r="F55" s="256"/>
      <c r="G55" s="256"/>
      <c r="H55" s="256"/>
      <c r="I55" s="37"/>
    </row>
    <row r="56" spans="2:9" s="44" customFormat="1" ht="18.75" customHeight="1">
      <c r="C56" s="255" t="s">
        <v>313</v>
      </c>
      <c r="D56" s="255"/>
      <c r="E56" s="255"/>
      <c r="F56" s="255"/>
      <c r="G56" s="255"/>
      <c r="H56" s="255"/>
      <c r="I56" s="255"/>
    </row>
    <row r="57" spans="2:9" s="44" customFormat="1" ht="18.75" customHeight="1">
      <c r="C57" s="255" t="s">
        <v>314</v>
      </c>
      <c r="D57" s="255"/>
      <c r="E57" s="255"/>
      <c r="F57" s="255"/>
      <c r="G57" s="255"/>
      <c r="H57" s="255"/>
      <c r="I57" s="255"/>
    </row>
    <row r="58" spans="2:9" s="44" customFormat="1" ht="18.75" customHeight="1" thickBot="1">
      <c r="I58" s="6"/>
    </row>
    <row r="59" spans="2:9" s="156" customFormat="1" ht="18.75" customHeight="1" thickBot="1">
      <c r="C59" s="228" t="s">
        <v>328</v>
      </c>
      <c r="D59" s="228"/>
      <c r="E59" s="228"/>
      <c r="F59" s="228"/>
      <c r="G59" s="228"/>
      <c r="H59" s="228"/>
      <c r="I59" s="144"/>
    </row>
    <row r="60" spans="2:9" s="156" customFormat="1" ht="18.75" customHeight="1" thickBot="1">
      <c r="I60" s="6"/>
    </row>
    <row r="61" spans="2:9" s="156" customFormat="1" ht="18.75" customHeight="1" thickBot="1">
      <c r="C61" s="228" t="s">
        <v>329</v>
      </c>
      <c r="D61" s="228"/>
      <c r="E61" s="228"/>
      <c r="F61" s="228"/>
      <c r="G61" s="228"/>
      <c r="I61" s="106" t="str">
        <f>IF(OR(I54="",I59=""),"",MIN(I54,I59))</f>
        <v/>
      </c>
    </row>
    <row r="62" spans="2:9" s="156" customFormat="1" ht="18.75" customHeight="1" thickBot="1">
      <c r="I62" s="6"/>
    </row>
    <row r="63" spans="2:9" ht="18.75" customHeight="1" thickBot="1">
      <c r="C63" s="240" t="s">
        <v>330</v>
      </c>
      <c r="D63" s="240"/>
      <c r="E63" s="240"/>
      <c r="F63" s="240"/>
      <c r="G63" s="240"/>
      <c r="H63" s="146" t="s">
        <v>33</v>
      </c>
      <c r="I63" s="145" t="e">
        <f>ROUND(I45*I52,0)+I61</f>
        <v>#VALUE!</v>
      </c>
    </row>
    <row r="64" spans="2:9" ht="18.75" customHeight="1">
      <c r="B64" s="229"/>
      <c r="C64" s="229"/>
      <c r="D64" s="229"/>
      <c r="E64" s="229"/>
    </row>
    <row r="65" spans="1:9" s="44" customFormat="1" ht="18.75" customHeight="1">
      <c r="B65" s="39"/>
      <c r="C65" s="39"/>
      <c r="D65" s="39"/>
      <c r="E65" s="39"/>
      <c r="I65" s="6"/>
    </row>
    <row r="66" spans="1:9" ht="18.75" customHeight="1">
      <c r="B66" s="238" t="s">
        <v>137</v>
      </c>
      <c r="C66" s="238"/>
      <c r="D66" s="238"/>
      <c r="E66" s="238"/>
      <c r="F66" s="238"/>
      <c r="G66" s="238"/>
      <c r="H66" s="238"/>
      <c r="I66" s="238"/>
    </row>
    <row r="67" spans="1:9" ht="18.75" customHeight="1">
      <c r="A67" s="2" t="s">
        <v>34</v>
      </c>
      <c r="B67" s="238" t="s">
        <v>138</v>
      </c>
      <c r="C67" s="238"/>
      <c r="D67" s="238"/>
      <c r="E67" s="238"/>
      <c r="F67" s="238"/>
      <c r="G67" s="238"/>
      <c r="H67" s="238"/>
      <c r="I67" s="238"/>
    </row>
    <row r="68" spans="1:9" ht="18.75" customHeight="1">
      <c r="B68" s="3"/>
      <c r="C68" s="3"/>
      <c r="D68" s="3"/>
      <c r="E68" s="3"/>
      <c r="F68" s="3"/>
      <c r="G68" s="33"/>
      <c r="H68" s="3"/>
      <c r="I68" s="4"/>
    </row>
    <row r="69" spans="1:9" ht="18.75" customHeight="1"/>
    <row r="70" spans="1:9" ht="18.75" customHeight="1"/>
    <row r="71" spans="1:9" ht="18.75" customHeight="1"/>
    <row r="72" spans="1:9" ht="18.75" customHeight="1"/>
    <row r="73" spans="1:9" ht="18.75" customHeight="1"/>
    <row r="74" spans="1:9" ht="18.75" customHeight="1"/>
    <row r="75" spans="1:9" ht="18.75" customHeight="1"/>
    <row r="76" spans="1:9" ht="18.75" customHeight="1"/>
    <row r="77" spans="1:9" ht="18.75" customHeight="1"/>
    <row r="78" spans="1:9" ht="18.75" customHeight="1"/>
    <row r="79" spans="1:9" ht="18.75" customHeight="1"/>
    <row r="80" spans="1:9"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sheetData>
  <mergeCells count="36">
    <mergeCell ref="C45:G45"/>
    <mergeCell ref="C27:I27"/>
    <mergeCell ref="C31:H31"/>
    <mergeCell ref="C33:H33"/>
    <mergeCell ref="B64:E64"/>
    <mergeCell ref="C59:H59"/>
    <mergeCell ref="C61:G61"/>
    <mergeCell ref="B66:I66"/>
    <mergeCell ref="B67:I67"/>
    <mergeCell ref="C47:H47"/>
    <mergeCell ref="C50:H50"/>
    <mergeCell ref="C56:I56"/>
    <mergeCell ref="C63:G63"/>
    <mergeCell ref="C52:G52"/>
    <mergeCell ref="C54:G54"/>
    <mergeCell ref="D55:H55"/>
    <mergeCell ref="C57:I57"/>
    <mergeCell ref="C48:D48"/>
    <mergeCell ref="E48:F48"/>
    <mergeCell ref="C8:H8"/>
    <mergeCell ref="C29:H29"/>
    <mergeCell ref="C35:H35"/>
    <mergeCell ref="C43:H43"/>
    <mergeCell ref="C20:H20"/>
    <mergeCell ref="C18:H18"/>
    <mergeCell ref="C24:H24"/>
    <mergeCell ref="D25:H26"/>
    <mergeCell ref="D21:H22"/>
    <mergeCell ref="C37:H37"/>
    <mergeCell ref="C39:H39"/>
    <mergeCell ref="F1:I1"/>
    <mergeCell ref="C4:D4"/>
    <mergeCell ref="C5:E5"/>
    <mergeCell ref="C7:I7"/>
    <mergeCell ref="C6:F6"/>
    <mergeCell ref="B2:I2"/>
  </mergeCells>
  <phoneticPr fontId="1"/>
  <conditionalFormatting sqref="I31">
    <cfRule type="expression" dxfId="175" priority="19">
      <formula>IF(RIGHT(TEXT($I31,"0.#"),1)=".",FALSE,TRUE)</formula>
    </cfRule>
    <cfRule type="expression" dxfId="174" priority="20">
      <formula>IF(RIGHT(TEXT($I31,"0.#"),1)=".",TRUE,FALSE)</formula>
    </cfRule>
  </conditionalFormatting>
  <conditionalFormatting sqref="I33">
    <cfRule type="expression" dxfId="173" priority="17">
      <formula>IF(RIGHT(TEXT($I33,"0.#"),1)=".",FALSE,TRUE)</formula>
    </cfRule>
    <cfRule type="expression" dxfId="172" priority="18">
      <formula>IF(RIGHT(TEXT($I33,"0.#"),1)=".",TRUE,FALSE)</formula>
    </cfRule>
  </conditionalFormatting>
  <conditionalFormatting sqref="I37">
    <cfRule type="expression" dxfId="171" priority="15">
      <formula>IF(RIGHT(TEXT($I37,"0.#"),1)=".",FALSE,TRUE)</formula>
    </cfRule>
    <cfRule type="expression" dxfId="170" priority="16">
      <formula>IF(RIGHT(TEXT($I37,"0.#"),1)=".",TRUE,FALSE)</formula>
    </cfRule>
  </conditionalFormatting>
  <conditionalFormatting sqref="I39">
    <cfRule type="expression" dxfId="169" priority="13">
      <formula>IF(RIGHT(TEXT($I39,"0.#"),1)=".",FALSE,TRUE)</formula>
    </cfRule>
    <cfRule type="expression" dxfId="168" priority="14">
      <formula>IF(RIGHT(TEXT($I39,"0.#"),1)=".",TRUE,FALSE)</formula>
    </cfRule>
  </conditionalFormatting>
  <conditionalFormatting sqref="I41">
    <cfRule type="expression" dxfId="167" priority="11">
      <formula>IF(RIGHT(TEXT($I41,"0.#"),1)=".",FALSE,TRUE)</formula>
    </cfRule>
    <cfRule type="expression" dxfId="166" priority="12">
      <formula>IF(RIGHT(TEXT($I41,"0.#"),1)=".",TRUE,FALSE)</formula>
    </cfRule>
  </conditionalFormatting>
  <conditionalFormatting sqref="I45">
    <cfRule type="expression" dxfId="165" priority="9">
      <formula>IF(RIGHT(TEXT($I45,"0.#"),1)=".",FALSE,TRUE)</formula>
    </cfRule>
    <cfRule type="expression" dxfId="164" priority="10">
      <formula>IF(RIGHT(TEXT($I45,"0.#"),1)=".",TRUE,FALSE)</formula>
    </cfRule>
  </conditionalFormatting>
  <conditionalFormatting sqref="I50">
    <cfRule type="expression" dxfId="163" priority="7">
      <formula>IF(RIGHT(TEXT($I50,"0.#"),1)=".",FALSE,TRUE)</formula>
    </cfRule>
    <cfRule type="expression" dxfId="162" priority="8">
      <formula>IF(RIGHT(TEXT($I52,"0.#"),1)=".",TRUE,FALSE)</formula>
    </cfRule>
  </conditionalFormatting>
  <conditionalFormatting sqref="I52">
    <cfRule type="expression" dxfId="161" priority="5">
      <formula>IF(RIGHT(TEXT($I52,"0.#"),1)=".",FALSE,TRUE)</formula>
    </cfRule>
    <cfRule type="expression" dxfId="160" priority="6">
      <formula>IF(RIGHT(TEXT($I52,"0.#"),1)=".",TRUE,FALSE)</formula>
    </cfRule>
  </conditionalFormatting>
  <conditionalFormatting sqref="I59">
    <cfRule type="expression" dxfId="159" priority="3">
      <formula>IF(RIGHT(TEXT($I59,"0.#"),1)=".",FALSE,TRUE)</formula>
    </cfRule>
    <cfRule type="expression" dxfId="158" priority="4">
      <formula>IF(RIGHT(TEXT($I61,"0.#"),1)=".",TRUE,FALSE)</formula>
    </cfRule>
  </conditionalFormatting>
  <conditionalFormatting sqref="I61">
    <cfRule type="expression" dxfId="157" priority="1">
      <formula>IF(RIGHT(TEXT($I61,"0.#"),1)=".",FALSE,TRUE)</formula>
    </cfRule>
    <cfRule type="expression" dxfId="156" priority="2">
      <formula>IF(RIGHT(TEXT($I61,"0.#"),1)=".",TRUE,FALSE)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'DB（削除禁止）'!$BH$5:$BH$6</xm:f>
          </x14:formula1>
          <xm:sqref>C6</xm:sqref>
        </x14:dataValidation>
        <x14:dataValidation type="list" allowBlank="1" showInputMessage="1" showErrorMessage="1">
          <x14:formula1>
            <xm:f>'DB（削除禁止）'!$BH$17:$BH$18</xm:f>
          </x14:formula1>
          <xm:sqref>D55</xm:sqref>
        </x14:dataValidation>
        <x14:dataValidation type="list" allowBlank="1" showInputMessage="1" showErrorMessage="1">
          <x14:formula1>
            <xm:f>'DB（削除禁止）'!$BH$10:$BH$11</xm:f>
          </x14:formula1>
          <xm:sqref>D21</xm:sqref>
        </x14:dataValidation>
        <x14:dataValidation type="list" allowBlank="1" showInputMessage="1" showErrorMessage="1">
          <x14:formula1>
            <xm:f>'DB別表3（削除禁止）'!$E$38:$E$39</xm:f>
          </x14:formula1>
          <xm:sqref>E48:F48</xm:sqref>
        </x14:dataValidation>
        <x14:dataValidation type="list" allowBlank="1" showInputMessage="1" showErrorMessage="1">
          <x14:formula1>
            <xm:f>'DB（削除禁止）'!$BH$12:$BH$13</xm:f>
          </x14:formula1>
          <xm:sqref>D25:H26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83"/>
  <sheetViews>
    <sheetView view="pageBreakPreview" zoomScale="85" zoomScaleNormal="85" zoomScaleSheetLayoutView="85" workbookViewId="0">
      <selection activeCell="C6" sqref="C6:F6"/>
    </sheetView>
  </sheetViews>
  <sheetFormatPr defaultColWidth="9" defaultRowHeight="13"/>
  <cols>
    <col min="1" max="1" width="1.26953125" style="44" customWidth="1"/>
    <col min="2" max="2" width="13.90625" style="44" bestFit="1" customWidth="1"/>
    <col min="3" max="3" width="14" style="44" customWidth="1"/>
    <col min="4" max="8" width="9" style="44" customWidth="1"/>
    <col min="9" max="9" width="15" style="6" customWidth="1"/>
    <col min="10" max="16384" width="9" style="44"/>
  </cols>
  <sheetData>
    <row r="1" spans="2:9" ht="18.75" customHeight="1">
      <c r="F1" s="233" t="s">
        <v>38</v>
      </c>
      <c r="G1" s="233"/>
      <c r="H1" s="233"/>
      <c r="I1" s="233"/>
    </row>
    <row r="2" spans="2:9" ht="40.5" customHeight="1">
      <c r="B2" s="234" t="s">
        <v>327</v>
      </c>
      <c r="C2" s="234"/>
      <c r="D2" s="234"/>
      <c r="E2" s="234"/>
      <c r="F2" s="234"/>
      <c r="G2" s="234"/>
      <c r="H2" s="234"/>
      <c r="I2" s="234"/>
    </row>
    <row r="3" spans="2:9" ht="18.75" customHeight="1">
      <c r="B3" s="43"/>
      <c r="C3" s="43"/>
      <c r="D3" s="43"/>
      <c r="E3" s="43"/>
      <c r="F3" s="43"/>
      <c r="G3" s="43"/>
      <c r="H3" s="43"/>
      <c r="I3" s="4"/>
    </row>
    <row r="4" spans="2:9" ht="18.75" customHeight="1">
      <c r="B4" s="9" t="s">
        <v>32</v>
      </c>
      <c r="C4" s="237"/>
      <c r="D4" s="237"/>
      <c r="E4" s="10"/>
      <c r="F4" s="10"/>
      <c r="G4" s="10"/>
      <c r="H4" s="10"/>
      <c r="I4" s="10"/>
    </row>
    <row r="5" spans="2:9" ht="18.75" customHeight="1">
      <c r="B5" s="9" t="s">
        <v>30</v>
      </c>
      <c r="C5" s="236"/>
      <c r="D5" s="236"/>
      <c r="E5" s="236"/>
      <c r="F5" s="41"/>
      <c r="G5" s="41"/>
      <c r="H5" s="41"/>
      <c r="I5" s="41"/>
    </row>
    <row r="6" spans="2:9" ht="18.75" customHeight="1">
      <c r="B6" s="9" t="s">
        <v>29</v>
      </c>
      <c r="C6" s="235" t="s">
        <v>95</v>
      </c>
      <c r="D6" s="235"/>
      <c r="E6" s="235"/>
      <c r="F6" s="235"/>
      <c r="G6" s="235"/>
      <c r="H6" s="235"/>
      <c r="I6" s="235"/>
    </row>
    <row r="7" spans="2:9" ht="18.75" customHeight="1">
      <c r="B7" s="9" t="s">
        <v>65</v>
      </c>
      <c r="C7" s="242" t="s">
        <v>129</v>
      </c>
      <c r="D7" s="242"/>
      <c r="E7" s="242"/>
      <c r="F7" s="242"/>
      <c r="G7" s="242"/>
      <c r="H7" s="242"/>
      <c r="I7" s="45"/>
    </row>
    <row r="8" spans="2:9" ht="18.75" customHeight="1" thickBot="1"/>
    <row r="9" spans="2:9" ht="18.75" customHeight="1" thickBot="1">
      <c r="C9" s="44" t="s">
        <v>130</v>
      </c>
      <c r="I9" s="36"/>
    </row>
    <row r="10" spans="2:9" ht="18.75" customHeight="1"/>
    <row r="11" spans="2:9" ht="18.75" customHeight="1">
      <c r="C11" s="228" t="s">
        <v>120</v>
      </c>
      <c r="D11" s="228"/>
      <c r="E11" s="228"/>
      <c r="F11" s="228"/>
      <c r="G11" s="228"/>
      <c r="H11" s="228"/>
    </row>
    <row r="12" spans="2:9" ht="18.75" customHeight="1" thickBot="1"/>
    <row r="13" spans="2:9" ht="18.75" customHeight="1" thickBot="1">
      <c r="C13" s="240" t="s">
        <v>109</v>
      </c>
      <c r="D13" s="240"/>
      <c r="E13" s="240"/>
      <c r="F13" s="240"/>
      <c r="G13" s="240"/>
      <c r="H13" s="241"/>
      <c r="I13" s="14" t="str">
        <f>IF(OR(I9="",D14=""),"",VLOOKUP(D14,'DB（削除禁止）'!$BH$10:$BI$11,2,FALSE)*I9)</f>
        <v/>
      </c>
    </row>
    <row r="14" spans="2:9" ht="18.75" customHeight="1">
      <c r="C14" s="42" t="s">
        <v>48</v>
      </c>
      <c r="D14" s="254"/>
      <c r="E14" s="254"/>
      <c r="F14" s="254"/>
      <c r="G14" s="254"/>
      <c r="H14" s="254"/>
      <c r="I14" s="37"/>
    </row>
    <row r="15" spans="2:9" ht="18.75" customHeight="1">
      <c r="D15" s="254"/>
      <c r="E15" s="254"/>
      <c r="F15" s="254"/>
      <c r="G15" s="254"/>
      <c r="H15" s="254"/>
      <c r="I15" s="37"/>
    </row>
    <row r="16" spans="2:9" ht="18.75" customHeight="1" thickBot="1"/>
    <row r="17" spans="3:9" ht="18.75" customHeight="1" thickBot="1">
      <c r="C17" s="253" t="s">
        <v>131</v>
      </c>
      <c r="D17" s="228"/>
      <c r="E17" s="228"/>
      <c r="F17" s="228"/>
      <c r="G17" s="228"/>
      <c r="H17" s="228"/>
      <c r="I17" s="14" t="str">
        <f>IF(OR(I9="",D18=""),"",VLOOKUP(D18,'DB（削除禁止）'!$BH$26:$BI$27,2,FALSE)*I9)</f>
        <v/>
      </c>
    </row>
    <row r="18" spans="3:9" ht="18.75" customHeight="1">
      <c r="C18" s="42" t="s">
        <v>48</v>
      </c>
      <c r="D18" s="258"/>
      <c r="E18" s="258"/>
      <c r="F18" s="258"/>
      <c r="G18" s="258"/>
      <c r="H18" s="258"/>
      <c r="I18" s="37"/>
    </row>
    <row r="19" spans="3:9" ht="18.75" customHeight="1" thickBot="1">
      <c r="C19" s="257"/>
      <c r="D19" s="257"/>
      <c r="E19" s="257"/>
      <c r="F19" s="257"/>
      <c r="G19" s="257"/>
      <c r="H19" s="257"/>
      <c r="I19" s="257"/>
    </row>
    <row r="20" spans="3:9" ht="18.75" customHeight="1" thickBot="1">
      <c r="C20" s="51"/>
      <c r="D20" s="51"/>
      <c r="E20" s="51"/>
      <c r="F20" s="51"/>
      <c r="G20" s="51"/>
      <c r="H20" s="27" t="s">
        <v>136</v>
      </c>
      <c r="I20" s="14">
        <f>SUM(I13,I17)</f>
        <v>0</v>
      </c>
    </row>
    <row r="21" spans="3:9" ht="18.75" customHeight="1" thickBot="1">
      <c r="C21" s="37"/>
      <c r="D21" s="37"/>
      <c r="E21" s="37"/>
      <c r="F21" s="37"/>
      <c r="G21" s="37"/>
      <c r="H21" s="37"/>
      <c r="I21" s="37"/>
    </row>
    <row r="22" spans="3:9" ht="18.75" customHeight="1" thickBot="1">
      <c r="C22" s="228" t="s">
        <v>121</v>
      </c>
      <c r="D22" s="228"/>
      <c r="E22" s="228"/>
      <c r="F22" s="228"/>
      <c r="G22" s="228"/>
      <c r="H22" s="228"/>
      <c r="I22" s="142"/>
    </row>
    <row r="23" spans="3:9" ht="18.75" customHeight="1" thickBot="1"/>
    <row r="24" spans="3:9" ht="18.75" customHeight="1" thickBot="1">
      <c r="C24" s="228" t="s">
        <v>122</v>
      </c>
      <c r="D24" s="228"/>
      <c r="E24" s="228"/>
      <c r="F24" s="228"/>
      <c r="G24" s="228"/>
      <c r="H24" s="228"/>
      <c r="I24" s="143" t="str">
        <f>IF(OR(I20="",I22=""),"",MIN(I20,I22))</f>
        <v/>
      </c>
    </row>
    <row r="25" spans="3:9" ht="18.75" customHeight="1" thickBot="1">
      <c r="I25" s="44"/>
    </row>
    <row r="26" spans="3:9" ht="18.75" customHeight="1" thickBot="1">
      <c r="C26" s="228" t="s">
        <v>123</v>
      </c>
      <c r="D26" s="228"/>
      <c r="E26" s="228"/>
      <c r="F26" s="228"/>
      <c r="G26" s="228"/>
      <c r="H26" s="228"/>
      <c r="I26" s="8"/>
    </row>
    <row r="27" spans="3:9" ht="18.75" customHeight="1" thickBot="1"/>
    <row r="28" spans="3:9" ht="18.75" customHeight="1" thickBot="1">
      <c r="C28" s="240" t="s">
        <v>135</v>
      </c>
      <c r="D28" s="240"/>
      <c r="E28" s="240"/>
      <c r="F28" s="240"/>
      <c r="G28" s="240"/>
      <c r="H28" s="146" t="s">
        <v>42</v>
      </c>
      <c r="I28" s="143" t="e">
        <f>ROUND(I24*I26,2)</f>
        <v>#VALUE!</v>
      </c>
    </row>
    <row r="29" spans="3:9" ht="18.75" customHeight="1" thickBot="1"/>
    <row r="30" spans="3:9" ht="18.75" customHeight="1" thickBot="1">
      <c r="C30" s="228" t="s">
        <v>125</v>
      </c>
      <c r="D30" s="228"/>
      <c r="E30" s="228"/>
      <c r="F30" s="228"/>
      <c r="G30" s="228"/>
      <c r="H30" s="228"/>
      <c r="I30" s="14" t="str">
        <f>IF(E31="","",VLOOKUP(E31,'DB別表3（削除禁止）'!$E$38:$F$39,2,FALSE))</f>
        <v/>
      </c>
    </row>
    <row r="31" spans="3:9" s="60" customFormat="1" ht="18.75" customHeight="1">
      <c r="C31" s="231" t="s">
        <v>205</v>
      </c>
      <c r="D31" s="231"/>
      <c r="E31" s="232"/>
      <c r="F31" s="232"/>
      <c r="H31" s="57"/>
      <c r="I31" s="132"/>
    </row>
    <row r="32" spans="3:9" ht="18.75" customHeight="1" thickBot="1"/>
    <row r="33" spans="1:9" ht="18.75" customHeight="1" thickBot="1">
      <c r="C33" s="228" t="s">
        <v>126</v>
      </c>
      <c r="D33" s="228"/>
      <c r="E33" s="228"/>
      <c r="F33" s="228"/>
      <c r="G33" s="228"/>
      <c r="H33" s="228"/>
      <c r="I33" s="144"/>
    </row>
    <row r="34" spans="1:9" ht="18.75" customHeight="1" thickBot="1"/>
    <row r="35" spans="1:9" ht="18.75" customHeight="1" thickBot="1">
      <c r="C35" s="228" t="s">
        <v>127</v>
      </c>
      <c r="D35" s="228"/>
      <c r="E35" s="228"/>
      <c r="F35" s="228"/>
      <c r="G35" s="228"/>
      <c r="H35" s="146" t="s">
        <v>43</v>
      </c>
      <c r="I35" s="106" t="str">
        <f>IF(OR(I30="",I33=""),"",MIN(I30,I33))</f>
        <v/>
      </c>
    </row>
    <row r="36" spans="1:9" ht="18.75" customHeight="1" thickBot="1"/>
    <row r="37" spans="1:9" ht="18.75" customHeight="1" thickBot="1">
      <c r="C37" s="240" t="s">
        <v>115</v>
      </c>
      <c r="D37" s="240"/>
      <c r="E37" s="240"/>
      <c r="F37" s="240"/>
      <c r="G37" s="240"/>
      <c r="H37" s="146" t="s">
        <v>33</v>
      </c>
      <c r="I37" s="145" t="e">
        <f>ROUND(I28*I35,0)</f>
        <v>#VALUE!</v>
      </c>
    </row>
    <row r="38" spans="1:9" ht="18.75" customHeight="1">
      <c r="B38" s="229"/>
      <c r="C38" s="229"/>
      <c r="D38" s="229"/>
      <c r="E38" s="229"/>
    </row>
    <row r="39" spans="1:9" ht="18.75" customHeight="1">
      <c r="B39" s="39"/>
      <c r="C39" s="39"/>
      <c r="D39" s="39"/>
      <c r="E39" s="39"/>
    </row>
    <row r="40" spans="1:9" ht="18.75" customHeight="1">
      <c r="B40" s="238" t="s">
        <v>137</v>
      </c>
      <c r="C40" s="238"/>
      <c r="D40" s="238"/>
      <c r="E40" s="238"/>
      <c r="F40" s="238"/>
      <c r="G40" s="238"/>
      <c r="H40" s="238"/>
      <c r="I40" s="238"/>
    </row>
    <row r="41" spans="1:9" ht="18.75" customHeight="1">
      <c r="A41" s="44" t="s">
        <v>34</v>
      </c>
      <c r="B41" s="238" t="s">
        <v>138</v>
      </c>
      <c r="C41" s="238"/>
      <c r="D41" s="238"/>
      <c r="E41" s="238"/>
      <c r="F41" s="238"/>
      <c r="G41" s="238"/>
      <c r="H41" s="238"/>
      <c r="I41" s="238"/>
    </row>
    <row r="42" spans="1:9" ht="18.75" customHeight="1">
      <c r="B42" s="43"/>
      <c r="C42" s="43"/>
      <c r="D42" s="43"/>
      <c r="E42" s="43"/>
      <c r="F42" s="43"/>
      <c r="G42" s="43"/>
      <c r="H42" s="43"/>
      <c r="I42" s="4"/>
    </row>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sheetData>
  <mergeCells count="25">
    <mergeCell ref="C37:G37"/>
    <mergeCell ref="B38:E38"/>
    <mergeCell ref="B40:I40"/>
    <mergeCell ref="B41:I41"/>
    <mergeCell ref="C35:G35"/>
    <mergeCell ref="C28:G28"/>
    <mergeCell ref="C30:H30"/>
    <mergeCell ref="C33:H33"/>
    <mergeCell ref="C31:D31"/>
    <mergeCell ref="E31:F31"/>
    <mergeCell ref="C24:H24"/>
    <mergeCell ref="C26:H26"/>
    <mergeCell ref="C19:I19"/>
    <mergeCell ref="C22:H22"/>
    <mergeCell ref="D18:H18"/>
    <mergeCell ref="C7:H7"/>
    <mergeCell ref="C11:H11"/>
    <mergeCell ref="C13:H13"/>
    <mergeCell ref="D14:H15"/>
    <mergeCell ref="C17:H17"/>
    <mergeCell ref="C4:D4"/>
    <mergeCell ref="C5:E5"/>
    <mergeCell ref="C6:I6"/>
    <mergeCell ref="F1:I1"/>
    <mergeCell ref="B2:I2"/>
  </mergeCells>
  <phoneticPr fontId="1"/>
  <conditionalFormatting sqref="I22">
    <cfRule type="expression" dxfId="155" priority="11">
      <formula>IF(RIGHT(TEXT($I22,"0.#"),1)=".",FALSE,TRUE)</formula>
    </cfRule>
    <cfRule type="expression" dxfId="154" priority="12">
      <formula>IF(RIGHT(TEXT($I22,"0.#"),1)=".",TRUE,FALSE)</formula>
    </cfRule>
  </conditionalFormatting>
  <conditionalFormatting sqref="I24">
    <cfRule type="expression" dxfId="153" priority="9">
      <formula>IF(RIGHT(TEXT($I24,"0.#"),1)=".",FALSE,TRUE)</formula>
    </cfRule>
    <cfRule type="expression" dxfId="152" priority="10">
      <formula>IF(RIGHT(TEXT($I24,"0.#"),1)=".",TRUE,FALSE)</formula>
    </cfRule>
  </conditionalFormatting>
  <conditionalFormatting sqref="I28">
    <cfRule type="expression" dxfId="151" priority="5">
      <formula>IF(RIGHT(TEXT($I28,"0.#"),1)=".",FALSE,TRUE)</formula>
    </cfRule>
    <cfRule type="expression" dxfId="150" priority="6">
      <formula>IF(RIGHT(TEXT($I28,"0.#"),1)=".",TRUE,FALSE)</formula>
    </cfRule>
  </conditionalFormatting>
  <conditionalFormatting sqref="I33">
    <cfRule type="expression" dxfId="149" priority="3">
      <formula>IF(RIGHT(TEXT($I33,"0.#"),1)=".",FALSE,TRUE)</formula>
    </cfRule>
    <cfRule type="expression" dxfId="148" priority="4">
      <formula>IF(RIGHT(TEXT($I35,"0.#"),1)=".",TRUE,FALSE)</formula>
    </cfRule>
  </conditionalFormatting>
  <conditionalFormatting sqref="I35">
    <cfRule type="expression" dxfId="147" priority="1">
      <formula>IF(RIGHT(TEXT($I35,"0.#"),1)=".",FALSE,TRUE)</formula>
    </cfRule>
    <cfRule type="expression" dxfId="146" priority="2">
      <formula>IF(RIGHT(TEXT($I35,"0.#"),1)=".",TRUE,FALSE)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'DB（削除禁止）'!$BH$10:$BH$11</xm:f>
          </x14:formula1>
          <xm:sqref>D14</xm:sqref>
        </x14:dataValidation>
        <x14:dataValidation type="list" allowBlank="1" showInputMessage="1" showErrorMessage="1">
          <x14:formula1>
            <xm:f>'DB（削除禁止）'!$BH$26:$BH$27</xm:f>
          </x14:formula1>
          <xm:sqref>D18:H18</xm:sqref>
        </x14:dataValidation>
        <x14:dataValidation type="list" allowBlank="1" showInputMessage="1" showErrorMessage="1">
          <x14:formula1>
            <xm:f>'DB別表3（削除禁止）'!E$38:E$39</xm:f>
          </x14:formula1>
          <xm:sqref>E31:F31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82"/>
  <sheetViews>
    <sheetView view="pageBreakPreview" zoomScale="85" zoomScaleNormal="85" zoomScaleSheetLayoutView="85" workbookViewId="0">
      <selection activeCell="C6" sqref="C6:F6"/>
    </sheetView>
  </sheetViews>
  <sheetFormatPr defaultColWidth="9" defaultRowHeight="13"/>
  <cols>
    <col min="1" max="1" width="1.26953125" style="44" customWidth="1"/>
    <col min="2" max="2" width="13.90625" style="44" bestFit="1" customWidth="1"/>
    <col min="3" max="3" width="14" style="44" customWidth="1"/>
    <col min="4" max="8" width="9" style="44" customWidth="1"/>
    <col min="9" max="9" width="15" style="6" customWidth="1"/>
    <col min="10" max="16384" width="9" style="44"/>
  </cols>
  <sheetData>
    <row r="1" spans="2:13" ht="18.75" customHeight="1">
      <c r="F1" s="233" t="s">
        <v>38</v>
      </c>
      <c r="G1" s="233"/>
      <c r="H1" s="233"/>
      <c r="I1" s="233"/>
    </row>
    <row r="2" spans="2:13" ht="40.5" customHeight="1">
      <c r="B2" s="234" t="s">
        <v>327</v>
      </c>
      <c r="C2" s="234"/>
      <c r="D2" s="234"/>
      <c r="E2" s="234"/>
      <c r="F2" s="234"/>
      <c r="G2" s="234"/>
      <c r="H2" s="234"/>
      <c r="I2" s="234"/>
    </row>
    <row r="3" spans="2:13" ht="18.75" customHeight="1">
      <c r="B3" s="43"/>
      <c r="C3" s="43"/>
      <c r="D3" s="43"/>
      <c r="E3" s="43"/>
      <c r="F3" s="43"/>
      <c r="G3" s="43"/>
      <c r="H3" s="43"/>
      <c r="I3" s="4"/>
    </row>
    <row r="4" spans="2:13" ht="18.75" customHeight="1">
      <c r="B4" s="9" t="s">
        <v>32</v>
      </c>
      <c r="C4" s="237"/>
      <c r="D4" s="237"/>
      <c r="E4" s="10"/>
      <c r="F4" s="10"/>
      <c r="G4" s="10"/>
      <c r="H4" s="10"/>
      <c r="I4" s="10"/>
    </row>
    <row r="5" spans="2:13" ht="18.75" customHeight="1">
      <c r="B5" s="9" t="s">
        <v>30</v>
      </c>
      <c r="C5" s="236"/>
      <c r="D5" s="236"/>
      <c r="E5" s="236"/>
      <c r="F5" s="41"/>
      <c r="G5" s="41"/>
      <c r="H5" s="41"/>
      <c r="I5" s="41"/>
    </row>
    <row r="6" spans="2:13" ht="18.75" customHeight="1">
      <c r="B6" s="9" t="s">
        <v>29</v>
      </c>
      <c r="C6" s="235" t="s">
        <v>95</v>
      </c>
      <c r="D6" s="235"/>
      <c r="E6" s="235"/>
      <c r="F6" s="235"/>
      <c r="G6" s="235"/>
      <c r="H6" s="235"/>
      <c r="I6" s="235"/>
    </row>
    <row r="7" spans="2:13" ht="18.75" customHeight="1">
      <c r="B7" s="9"/>
      <c r="C7" s="41"/>
      <c r="D7" s="41"/>
      <c r="E7" s="41"/>
      <c r="F7" s="41"/>
      <c r="G7" s="41"/>
      <c r="H7" s="41"/>
      <c r="I7" s="41"/>
    </row>
    <row r="8" spans="2:13" ht="18.75" customHeight="1">
      <c r="B8" s="9" t="s">
        <v>65</v>
      </c>
      <c r="C8" s="41" t="s">
        <v>143</v>
      </c>
      <c r="D8" s="41"/>
      <c r="E8" s="41"/>
      <c r="F8" s="41"/>
      <c r="G8" s="41"/>
      <c r="H8" s="41"/>
      <c r="I8" s="45"/>
    </row>
    <row r="9" spans="2:13" ht="18.75" customHeight="1" thickBot="1">
      <c r="B9" s="9"/>
      <c r="C9" s="41"/>
      <c r="D9" s="41"/>
      <c r="E9" s="41"/>
      <c r="F9" s="41"/>
      <c r="G9" s="41"/>
      <c r="H9" s="41"/>
      <c r="I9" s="45"/>
    </row>
    <row r="10" spans="2:13" ht="18.75" customHeight="1" thickBot="1">
      <c r="C10" s="228" t="s">
        <v>27</v>
      </c>
      <c r="D10" s="228"/>
      <c r="E10" s="228"/>
      <c r="F10" s="228"/>
      <c r="G10" s="228"/>
      <c r="I10" s="14" t="str">
        <f>IF(D11="","",VLOOKUP(D11,'DB（削除禁止）'!$BH$31:$BI$33,2,FALSE))</f>
        <v/>
      </c>
    </row>
    <row r="11" spans="2:13" ht="18.75" customHeight="1">
      <c r="C11" s="42" t="s">
        <v>48</v>
      </c>
      <c r="D11" s="239"/>
      <c r="E11" s="239"/>
      <c r="I11" s="16"/>
    </row>
    <row r="12" spans="2:13" ht="12" customHeight="1" thickBot="1">
      <c r="C12" s="42"/>
      <c r="D12" s="40"/>
      <c r="E12" s="40"/>
      <c r="F12" s="40"/>
      <c r="G12" s="40"/>
      <c r="I12" s="16"/>
    </row>
    <row r="13" spans="2:13" ht="18.75" customHeight="1" thickBot="1">
      <c r="C13" s="228" t="s">
        <v>28</v>
      </c>
      <c r="D13" s="228"/>
      <c r="E13" s="228"/>
      <c r="F13" s="228"/>
      <c r="G13" s="228"/>
      <c r="I13" s="142"/>
    </row>
    <row r="14" spans="2:13" ht="12" customHeight="1" thickBot="1">
      <c r="M14" s="42"/>
    </row>
    <row r="15" spans="2:13" ht="18.75" customHeight="1" thickBot="1">
      <c r="C15" s="228" t="s">
        <v>40</v>
      </c>
      <c r="D15" s="228"/>
      <c r="E15" s="228"/>
      <c r="F15" s="228"/>
      <c r="G15" s="228"/>
      <c r="I15" s="143" t="str">
        <f>IF(OR(I10="",I13=""),"",MIN(I10,I13))</f>
        <v/>
      </c>
    </row>
    <row r="16" spans="2:13" ht="12" customHeight="1" thickBot="1">
      <c r="I16" s="44"/>
    </row>
    <row r="17" spans="2:9" ht="18.75" customHeight="1" thickBot="1">
      <c r="C17" s="228" t="s">
        <v>41</v>
      </c>
      <c r="D17" s="228"/>
      <c r="E17" s="228"/>
      <c r="F17" s="228"/>
      <c r="G17" s="228"/>
      <c r="I17" s="8"/>
    </row>
    <row r="18" spans="2:9" ht="12" customHeight="1" thickBot="1"/>
    <row r="19" spans="2:9" ht="18.75" customHeight="1" thickBot="1">
      <c r="C19" s="228" t="s">
        <v>102</v>
      </c>
      <c r="D19" s="228"/>
      <c r="E19" s="228"/>
      <c r="F19" s="228"/>
      <c r="G19" s="228"/>
      <c r="H19" s="146" t="s">
        <v>42</v>
      </c>
      <c r="I19" s="143" t="e">
        <f>ROUND(I15*I17,2)</f>
        <v>#VALUE!</v>
      </c>
    </row>
    <row r="20" spans="2:9" ht="12" customHeight="1" thickBot="1"/>
    <row r="21" spans="2:9" ht="18.75" customHeight="1" thickBot="1">
      <c r="C21" s="228" t="s">
        <v>98</v>
      </c>
      <c r="D21" s="228"/>
      <c r="E21" s="228"/>
      <c r="F21" s="228"/>
      <c r="G21" s="228"/>
      <c r="H21" s="228"/>
      <c r="I21" s="14" t="str">
        <f>IF(E22="","",VLOOKUP(E22,'DB別表3（削除禁止）'!$E$41:$F$46,2,FALSE))</f>
        <v/>
      </c>
    </row>
    <row r="22" spans="2:9" s="60" customFormat="1" ht="18.75" customHeight="1">
      <c r="C22" s="231" t="s">
        <v>205</v>
      </c>
      <c r="D22" s="231"/>
      <c r="E22" s="232"/>
      <c r="F22" s="232"/>
      <c r="G22" s="232"/>
      <c r="H22" s="232"/>
      <c r="I22" s="132"/>
    </row>
    <row r="23" spans="2:9" ht="12" customHeight="1" thickBot="1"/>
    <row r="24" spans="2:9" ht="18.75" customHeight="1" thickBot="1">
      <c r="C24" s="228" t="s">
        <v>99</v>
      </c>
      <c r="D24" s="228"/>
      <c r="E24" s="228"/>
      <c r="F24" s="228"/>
      <c r="G24" s="228"/>
      <c r="I24" s="142"/>
    </row>
    <row r="25" spans="2:9" ht="12" customHeight="1" thickBot="1"/>
    <row r="26" spans="2:9" ht="18.75" customHeight="1" thickBot="1">
      <c r="C26" s="228" t="s">
        <v>100</v>
      </c>
      <c r="D26" s="228"/>
      <c r="E26" s="228"/>
      <c r="F26" s="228"/>
      <c r="H26" s="146" t="s">
        <v>43</v>
      </c>
      <c r="I26" s="143" t="str">
        <f>IF(OR(I21="",I24=""),"",MIN(I21,I24))</f>
        <v/>
      </c>
    </row>
    <row r="27" spans="2:9" ht="12" customHeight="1" thickBot="1"/>
    <row r="28" spans="2:9" ht="18.75" customHeight="1" thickBot="1">
      <c r="C28" s="228" t="s">
        <v>103</v>
      </c>
      <c r="D28" s="228"/>
      <c r="E28" s="228"/>
      <c r="F28" s="228"/>
      <c r="G28" s="228"/>
      <c r="H28" s="146" t="s">
        <v>33</v>
      </c>
      <c r="I28" s="145" t="e">
        <f>ROUND(I19*I26,0)</f>
        <v>#VALUE!</v>
      </c>
    </row>
    <row r="29" spans="2:9" ht="18.75" customHeight="1">
      <c r="B29" s="43"/>
      <c r="C29" s="43"/>
      <c r="D29" s="43"/>
      <c r="E29" s="43"/>
    </row>
    <row r="30" spans="2:9" ht="18.75" customHeight="1">
      <c r="B30" s="39"/>
      <c r="C30" s="39"/>
      <c r="D30" s="39"/>
      <c r="E30" s="39"/>
    </row>
    <row r="31" spans="2:9" ht="18.75" customHeight="1">
      <c r="B31" s="9" t="s">
        <v>65</v>
      </c>
      <c r="C31" s="41" t="s">
        <v>144</v>
      </c>
      <c r="D31" s="41"/>
      <c r="E31" s="41"/>
      <c r="F31" s="41"/>
      <c r="G31" s="41"/>
      <c r="H31" s="41"/>
      <c r="I31" s="45"/>
    </row>
    <row r="32" spans="2:9" ht="18.75" customHeight="1" thickBot="1"/>
    <row r="33" spans="1:9" ht="18.75" customHeight="1" thickBot="1">
      <c r="C33" s="240" t="s">
        <v>35</v>
      </c>
      <c r="D33" s="240"/>
      <c r="E33" s="240"/>
      <c r="F33" s="240"/>
      <c r="G33" s="240"/>
      <c r="H33" s="241"/>
      <c r="I33" s="14">
        <f>'DB（削除禁止）'!BI36</f>
        <v>3910000</v>
      </c>
    </row>
    <row r="34" spans="1:9" ht="12" customHeight="1" thickBot="1"/>
    <row r="35" spans="1:9" ht="18.75" customHeight="1" thickBot="1">
      <c r="C35" s="240" t="s">
        <v>142</v>
      </c>
      <c r="D35" s="240"/>
      <c r="E35" s="240"/>
      <c r="F35" s="240"/>
      <c r="G35" s="240"/>
      <c r="H35" s="241"/>
      <c r="I35" s="7"/>
    </row>
    <row r="36" spans="1:9" ht="12" customHeight="1" thickBot="1"/>
    <row r="37" spans="1:9" ht="18.75" customHeight="1" thickBot="1">
      <c r="C37" s="240" t="s">
        <v>37</v>
      </c>
      <c r="D37" s="240"/>
      <c r="E37" s="240"/>
      <c r="F37" s="240"/>
      <c r="G37" s="240"/>
      <c r="H37" s="241"/>
      <c r="I37" s="8"/>
    </row>
    <row r="38" spans="1:9" ht="12" customHeight="1" thickBot="1"/>
    <row r="39" spans="1:9" ht="18.75" customHeight="1" thickBot="1">
      <c r="C39" s="228" t="s">
        <v>104</v>
      </c>
      <c r="D39" s="228"/>
      <c r="E39" s="228"/>
      <c r="F39" s="228"/>
      <c r="G39" s="228"/>
      <c r="H39" s="146" t="s">
        <v>33</v>
      </c>
      <c r="I39" s="143">
        <f>ROUND(I33*I35*I37,0)</f>
        <v>0</v>
      </c>
    </row>
    <row r="40" spans="1:9" ht="18.75" customHeight="1"/>
    <row r="41" spans="1:9" ht="18.75" customHeight="1">
      <c r="B41" s="43"/>
      <c r="C41" s="43"/>
      <c r="D41" s="43"/>
      <c r="E41" s="43"/>
      <c r="F41" s="43"/>
    </row>
    <row r="42" spans="1:9" ht="18.75" customHeight="1">
      <c r="B42" s="238" t="s">
        <v>137</v>
      </c>
      <c r="C42" s="238"/>
      <c r="D42" s="238"/>
      <c r="E42" s="238"/>
      <c r="F42" s="238"/>
      <c r="G42" s="238"/>
      <c r="H42" s="238"/>
      <c r="I42" s="238"/>
    </row>
    <row r="43" spans="1:9" ht="18.75" customHeight="1">
      <c r="A43" s="44" t="s">
        <v>34</v>
      </c>
      <c r="B43" s="238" t="s">
        <v>138</v>
      </c>
      <c r="C43" s="238"/>
      <c r="D43" s="238"/>
      <c r="E43" s="238"/>
      <c r="F43" s="238"/>
      <c r="G43" s="238"/>
      <c r="H43" s="238"/>
      <c r="I43" s="238"/>
    </row>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sheetData>
  <mergeCells count="23">
    <mergeCell ref="E22:H22"/>
    <mergeCell ref="B42:I42"/>
    <mergeCell ref="B43:I43"/>
    <mergeCell ref="C26:F26"/>
    <mergeCell ref="C28:G28"/>
    <mergeCell ref="C33:H33"/>
    <mergeCell ref="C35:H35"/>
    <mergeCell ref="C37:H37"/>
    <mergeCell ref="C39:G39"/>
    <mergeCell ref="C24:G24"/>
    <mergeCell ref="C22:D22"/>
    <mergeCell ref="C10:G10"/>
    <mergeCell ref="D11:E11"/>
    <mergeCell ref="F1:I1"/>
    <mergeCell ref="B2:I2"/>
    <mergeCell ref="C4:D4"/>
    <mergeCell ref="C5:E5"/>
    <mergeCell ref="C6:I6"/>
    <mergeCell ref="C13:G13"/>
    <mergeCell ref="C15:G15"/>
    <mergeCell ref="C17:G17"/>
    <mergeCell ref="C19:G19"/>
    <mergeCell ref="C21:H21"/>
  </mergeCells>
  <phoneticPr fontId="1"/>
  <conditionalFormatting sqref="I13">
    <cfRule type="expression" dxfId="145" priority="9">
      <formula>IF(RIGHT(TEXT($I13,"0.#"),1)=".",FALSE,TRUE)</formula>
    </cfRule>
    <cfRule type="expression" dxfId="144" priority="10">
      <formula>IF(RIGHT(TEXT($I13,"0.#"),1)=".",TRUE,FALSE)</formula>
    </cfRule>
  </conditionalFormatting>
  <conditionalFormatting sqref="I15">
    <cfRule type="expression" dxfId="143" priority="7">
      <formula>IF(RIGHT(TEXT($I15,"0.#"),1)=".",FALSE,TRUE)</formula>
    </cfRule>
    <cfRule type="expression" dxfId="142" priority="8">
      <formula>IF(RIGHT(TEXT($I15,"0.#"),1)=".",TRUE,FALSE)</formula>
    </cfRule>
  </conditionalFormatting>
  <conditionalFormatting sqref="I19">
    <cfRule type="expression" dxfId="141" priority="5">
      <formula>IF(RIGHT(TEXT($I19,"0.#"),1)=".",FALSE,TRUE)</formula>
    </cfRule>
    <cfRule type="expression" dxfId="140" priority="6">
      <formula>IF(RIGHT(TEXT($I19,"0.#"),1)=".",TRUE,FALSE)</formula>
    </cfRule>
  </conditionalFormatting>
  <conditionalFormatting sqref="I26">
    <cfRule type="expression" dxfId="139" priority="3">
      <formula>IF(RIGHT(TEXT($I26,"0.#"),1)=".",FALSE,TRUE)</formula>
    </cfRule>
    <cfRule type="expression" dxfId="138" priority="4">
      <formula>IF(RIGHT(TEXT($I26,"0.#"),1)=".",TRUE,FALSE)</formula>
    </cfRule>
  </conditionalFormatting>
  <conditionalFormatting sqref="I24">
    <cfRule type="expression" dxfId="137" priority="1">
      <formula>IF(RIGHT(TEXT($I24,"0.#"),1)=".",FALSE,TRUE)</formula>
    </cfRule>
    <cfRule type="expression" dxfId="136" priority="2">
      <formula>IF(RIGHT(TEXT($I24,"0.#"),1)=".",TRUE,FALSE)</formula>
    </cfRule>
  </conditionalFormatting>
  <dataValidations count="1">
    <dataValidation type="list" allowBlank="1" showInputMessage="1" showErrorMessage="1" sqref="D34">
      <formula1>$H$70:$H$72</formula1>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'DB（削除禁止）'!$BH$31:$BH$33</xm:f>
          </x14:formula1>
          <xm:sqref>D11</xm:sqref>
        </x14:dataValidation>
        <x14:dataValidation type="list" allowBlank="1" showInputMessage="1" showErrorMessage="1">
          <x14:formula1>
            <xm:f>'DB別表3（削除禁止）'!E$41:E$46</xm:f>
          </x14:formula1>
          <xm:sqref>E22:H22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75"/>
  <sheetViews>
    <sheetView view="pageBreakPreview" zoomScale="85" zoomScaleNormal="85" zoomScaleSheetLayoutView="85" workbookViewId="0">
      <selection activeCell="C25" sqref="C25:G25"/>
    </sheetView>
  </sheetViews>
  <sheetFormatPr defaultColWidth="9" defaultRowHeight="13"/>
  <cols>
    <col min="1" max="1" width="1.26953125" style="2" customWidth="1"/>
    <col min="2" max="2" width="13.90625" style="2" bestFit="1" customWidth="1"/>
    <col min="3" max="3" width="14" style="2" customWidth="1"/>
    <col min="4" max="8" width="9" style="2" customWidth="1"/>
    <col min="9" max="9" width="15" style="2" customWidth="1"/>
    <col min="10" max="16384" width="9" style="2"/>
  </cols>
  <sheetData>
    <row r="1" spans="2:13" s="136" customFormat="1" ht="18.75" customHeight="1">
      <c r="G1" s="233" t="s">
        <v>38</v>
      </c>
      <c r="H1" s="233"/>
      <c r="I1" s="233"/>
    </row>
    <row r="2" spans="2:13" s="136" customFormat="1" ht="40.5" customHeight="1">
      <c r="B2" s="234" t="s">
        <v>327</v>
      </c>
      <c r="C2" s="234"/>
      <c r="D2" s="234"/>
      <c r="E2" s="234"/>
      <c r="F2" s="234"/>
      <c r="G2" s="234"/>
      <c r="H2" s="234"/>
      <c r="I2" s="234"/>
    </row>
    <row r="3" spans="2:13" s="136" customFormat="1" ht="18.75" customHeight="1">
      <c r="B3" s="133"/>
      <c r="C3" s="133"/>
      <c r="D3" s="133"/>
      <c r="E3" s="133"/>
      <c r="F3" s="133"/>
      <c r="G3" s="133"/>
      <c r="H3" s="133"/>
      <c r="I3" s="4"/>
    </row>
    <row r="4" spans="2:13" s="136" customFormat="1" ht="18.75" customHeight="1">
      <c r="B4" s="9" t="s">
        <v>32</v>
      </c>
      <c r="C4" s="237"/>
      <c r="D4" s="237"/>
      <c r="E4" s="10"/>
      <c r="F4" s="10"/>
      <c r="G4" s="10"/>
      <c r="H4" s="10"/>
      <c r="I4" s="10"/>
    </row>
    <row r="5" spans="2:13" s="136" customFormat="1" ht="18.75" customHeight="1">
      <c r="B5" s="9" t="s">
        <v>30</v>
      </c>
      <c r="C5" s="236"/>
      <c r="D5" s="236"/>
      <c r="E5" s="236"/>
      <c r="F5" s="135"/>
      <c r="G5" s="135"/>
      <c r="H5" s="135"/>
      <c r="I5" s="135"/>
    </row>
    <row r="6" spans="2:13" ht="18.75" customHeight="1">
      <c r="B6" s="9" t="s">
        <v>29</v>
      </c>
      <c r="C6" s="235" t="s">
        <v>46</v>
      </c>
      <c r="D6" s="235"/>
      <c r="E6" s="235"/>
      <c r="F6" s="235"/>
      <c r="G6" s="235"/>
      <c r="H6" s="235"/>
      <c r="I6" s="235"/>
    </row>
    <row r="7" spans="2:13" ht="18.75" customHeight="1" thickBot="1"/>
    <row r="8" spans="2:13" ht="18.75" customHeight="1" thickBot="1">
      <c r="C8" s="228" t="s">
        <v>27</v>
      </c>
      <c r="D8" s="228"/>
      <c r="E8" s="228"/>
      <c r="F8" s="228"/>
      <c r="G8" s="228"/>
      <c r="H8" s="228"/>
      <c r="I8" s="14" t="str">
        <f>IF(D9="","",VLOOKUP(D9,'DB（削除禁止）'!$C$4:$D$7,2,FALSE))</f>
        <v/>
      </c>
    </row>
    <row r="9" spans="2:13" ht="18.75" customHeight="1">
      <c r="C9" s="15" t="s">
        <v>48</v>
      </c>
      <c r="D9" s="230"/>
      <c r="E9" s="230"/>
      <c r="F9" s="230"/>
      <c r="G9" s="230"/>
      <c r="H9" s="230"/>
      <c r="I9" s="230"/>
    </row>
    <row r="10" spans="2:13" ht="18.75" customHeight="1" thickBot="1"/>
    <row r="11" spans="2:13" ht="18.75" customHeight="1" thickBot="1">
      <c r="C11" s="228" t="s">
        <v>28</v>
      </c>
      <c r="D11" s="228"/>
      <c r="E11" s="228"/>
      <c r="F11" s="228"/>
      <c r="G11" s="228"/>
      <c r="H11" s="228"/>
      <c r="I11" s="142"/>
      <c r="K11" s="141"/>
    </row>
    <row r="12" spans="2:13" ht="18.75" customHeight="1" thickBot="1">
      <c r="I12" s="6"/>
      <c r="M12" s="15"/>
    </row>
    <row r="13" spans="2:13" ht="18.75" customHeight="1" thickBot="1">
      <c r="C13" s="228" t="s">
        <v>40</v>
      </c>
      <c r="D13" s="228"/>
      <c r="E13" s="228"/>
      <c r="F13" s="228"/>
      <c r="G13" s="228"/>
      <c r="H13" s="228"/>
      <c r="I13" s="143"/>
    </row>
    <row r="14" spans="2:13" ht="18.75" customHeight="1" thickBot="1"/>
    <row r="15" spans="2:13" ht="18.75" customHeight="1" thickBot="1">
      <c r="C15" s="228" t="s">
        <v>41</v>
      </c>
      <c r="D15" s="228"/>
      <c r="E15" s="228"/>
      <c r="F15" s="228"/>
      <c r="G15" s="228"/>
      <c r="H15" s="228"/>
      <c r="I15" s="8"/>
    </row>
    <row r="16" spans="2:13" ht="18.75" customHeight="1" thickBot="1">
      <c r="I16" s="6"/>
    </row>
    <row r="17" spans="1:9" ht="18.75" customHeight="1" thickBot="1">
      <c r="C17" s="228" t="s">
        <v>102</v>
      </c>
      <c r="D17" s="228"/>
      <c r="E17" s="228"/>
      <c r="F17" s="228"/>
      <c r="G17" s="228"/>
      <c r="H17" s="146" t="s">
        <v>42</v>
      </c>
      <c r="I17" s="143">
        <f>ROUND(I13*I15,2)</f>
        <v>0</v>
      </c>
    </row>
    <row r="18" spans="1:9" ht="18.75" customHeight="1" thickBot="1">
      <c r="I18" s="6"/>
    </row>
    <row r="19" spans="1:9" ht="18.75" customHeight="1" thickBot="1">
      <c r="C19" s="228" t="s">
        <v>98</v>
      </c>
      <c r="D19" s="228"/>
      <c r="E19" s="228"/>
      <c r="F19" s="228"/>
      <c r="G19" s="228"/>
      <c r="H19" s="228"/>
      <c r="I19" s="14" t="str">
        <f>IF(E20="","",VLOOKUP(E20,'DB別表3（削除禁止）'!$D$2:$F$4,3,FALSE))</f>
        <v/>
      </c>
    </row>
    <row r="20" spans="1:9" s="60" customFormat="1" ht="18.75" customHeight="1">
      <c r="C20" s="231" t="s">
        <v>205</v>
      </c>
      <c r="D20" s="231"/>
      <c r="E20" s="232"/>
      <c r="F20" s="232"/>
      <c r="H20" s="57"/>
    </row>
    <row r="21" spans="1:9" ht="18.75" customHeight="1" thickBot="1">
      <c r="I21" s="6"/>
    </row>
    <row r="22" spans="1:9" ht="18.75" customHeight="1" thickBot="1">
      <c r="C22" s="228" t="s">
        <v>99</v>
      </c>
      <c r="D22" s="228"/>
      <c r="E22" s="228"/>
      <c r="F22" s="228"/>
      <c r="G22" s="228"/>
      <c r="H22" s="228"/>
      <c r="I22" s="144"/>
    </row>
    <row r="23" spans="1:9" ht="18.75" customHeight="1" thickBot="1">
      <c r="I23" s="6"/>
    </row>
    <row r="24" spans="1:9" ht="18.75" customHeight="1" thickBot="1">
      <c r="C24" s="228" t="s">
        <v>100</v>
      </c>
      <c r="D24" s="228"/>
      <c r="E24" s="228"/>
      <c r="F24" s="228"/>
      <c r="G24" s="228"/>
      <c r="H24" s="146" t="s">
        <v>43</v>
      </c>
      <c r="I24" s="106" t="str">
        <f>IF(OR(I19="",I22=""),"",MIN(I19,I22))</f>
        <v/>
      </c>
    </row>
    <row r="25" spans="1:9" ht="18.75" customHeight="1" thickBot="1">
      <c r="I25" s="6"/>
    </row>
    <row r="26" spans="1:9" ht="18.75" customHeight="1" thickBot="1">
      <c r="C26" s="228" t="s">
        <v>103</v>
      </c>
      <c r="D26" s="228"/>
      <c r="E26" s="228"/>
      <c r="F26" s="228"/>
      <c r="G26" s="228"/>
      <c r="H26" s="146" t="s">
        <v>33</v>
      </c>
      <c r="I26" s="145" t="e">
        <f>ROUND(I17*I24,0)</f>
        <v>#VALUE!</v>
      </c>
    </row>
    <row r="27" spans="1:9" ht="18.75" customHeight="1">
      <c r="B27" s="33"/>
      <c r="C27" s="33"/>
      <c r="D27" s="33"/>
      <c r="E27" s="33"/>
      <c r="F27" s="17"/>
    </row>
    <row r="28" spans="1:9" ht="18.75" customHeight="1">
      <c r="B28" s="17"/>
      <c r="C28" s="17"/>
      <c r="D28" s="17"/>
      <c r="E28" s="17"/>
      <c r="F28" s="17"/>
    </row>
    <row r="29" spans="1:9" ht="18.75" customHeight="1">
      <c r="B29" s="229" t="s">
        <v>53</v>
      </c>
      <c r="C29" s="229"/>
      <c r="D29" s="229"/>
      <c r="E29" s="229"/>
      <c r="F29" s="229"/>
      <c r="G29" s="229"/>
      <c r="H29" s="229"/>
      <c r="I29" s="229"/>
    </row>
    <row r="30" spans="1:9" ht="18.75" customHeight="1">
      <c r="A30" s="2" t="s">
        <v>34</v>
      </c>
      <c r="B30" s="229" t="s">
        <v>52</v>
      </c>
      <c r="C30" s="229"/>
      <c r="D30" s="229"/>
      <c r="E30" s="229"/>
      <c r="F30" s="229"/>
      <c r="G30" s="229"/>
      <c r="H30" s="229"/>
      <c r="I30" s="229"/>
    </row>
    <row r="31" spans="1:9" ht="18.75" customHeight="1">
      <c r="B31" s="11"/>
      <c r="C31" s="11"/>
      <c r="D31" s="11"/>
      <c r="E31" s="11"/>
      <c r="F31" s="17"/>
    </row>
    <row r="32" spans="1:9" ht="18.75" customHeight="1">
      <c r="B32" s="238" t="s">
        <v>137</v>
      </c>
      <c r="C32" s="238"/>
      <c r="D32" s="238"/>
      <c r="E32" s="238"/>
      <c r="F32" s="238"/>
      <c r="G32" s="238"/>
      <c r="H32" s="238"/>
      <c r="I32" s="238"/>
    </row>
    <row r="33" spans="1:9" ht="18.75" customHeight="1">
      <c r="A33" s="2" t="s">
        <v>34</v>
      </c>
      <c r="B33" s="238" t="s">
        <v>138</v>
      </c>
      <c r="C33" s="238"/>
      <c r="D33" s="238"/>
      <c r="E33" s="238"/>
      <c r="F33" s="238"/>
      <c r="G33" s="238"/>
      <c r="H33" s="238"/>
      <c r="I33" s="238"/>
    </row>
    <row r="34" spans="1:9" ht="18.75" customHeight="1">
      <c r="B34" s="3"/>
      <c r="C34" s="3"/>
      <c r="D34" s="3"/>
      <c r="E34" s="3"/>
      <c r="F34" s="3"/>
      <c r="G34" s="3"/>
      <c r="H34" s="3"/>
      <c r="I34" s="3"/>
    </row>
    <row r="35" spans="1:9" ht="18.75" customHeight="1">
      <c r="B35" s="229"/>
      <c r="C35" s="229"/>
      <c r="D35" s="229"/>
      <c r="E35" s="229"/>
      <c r="F35" s="229"/>
      <c r="G35" s="229"/>
      <c r="H35" s="229"/>
      <c r="I35" s="229"/>
    </row>
    <row r="36" spans="1:9" ht="18.75" customHeight="1">
      <c r="B36" s="229"/>
      <c r="C36" s="229"/>
      <c r="D36" s="229"/>
      <c r="E36" s="229"/>
      <c r="F36" s="229"/>
      <c r="G36" s="229"/>
      <c r="H36" s="229"/>
      <c r="I36" s="229"/>
    </row>
    <row r="37" spans="1:9" ht="18.75" customHeight="1"/>
    <row r="38" spans="1:9" ht="18.75" customHeight="1">
      <c r="B38" s="238"/>
      <c r="C38" s="238"/>
      <c r="D38" s="238"/>
      <c r="E38" s="238"/>
      <c r="F38" s="238"/>
      <c r="G38" s="238"/>
      <c r="H38" s="238"/>
      <c r="I38" s="238"/>
    </row>
    <row r="39" spans="1:9" ht="18.75" customHeight="1">
      <c r="B39" s="238" t="s">
        <v>34</v>
      </c>
      <c r="C39" s="238"/>
      <c r="D39" s="238"/>
      <c r="E39" s="238"/>
      <c r="F39" s="238"/>
      <c r="G39" s="238"/>
      <c r="H39" s="238"/>
      <c r="I39" s="238"/>
    </row>
    <row r="40" spans="1:9" ht="18.75" customHeight="1"/>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25">
    <mergeCell ref="B35:I35"/>
    <mergeCell ref="B36:I36"/>
    <mergeCell ref="B38:I38"/>
    <mergeCell ref="B39:I39"/>
    <mergeCell ref="B32:I32"/>
    <mergeCell ref="B33:I33"/>
    <mergeCell ref="G1:I1"/>
    <mergeCell ref="B2:I2"/>
    <mergeCell ref="C6:I6"/>
    <mergeCell ref="C5:E5"/>
    <mergeCell ref="C4:D4"/>
    <mergeCell ref="C8:H8"/>
    <mergeCell ref="B29:I29"/>
    <mergeCell ref="B30:I30"/>
    <mergeCell ref="D9:I9"/>
    <mergeCell ref="C17:G17"/>
    <mergeCell ref="C26:G26"/>
    <mergeCell ref="C24:G24"/>
    <mergeCell ref="C11:H11"/>
    <mergeCell ref="C13:H13"/>
    <mergeCell ref="C15:H15"/>
    <mergeCell ref="C19:H19"/>
    <mergeCell ref="C22:H22"/>
    <mergeCell ref="C20:D20"/>
    <mergeCell ref="E20:F20"/>
  </mergeCells>
  <phoneticPr fontId="1"/>
  <conditionalFormatting sqref="I17">
    <cfRule type="expression" dxfId="305" priority="11">
      <formula>IF(RIGHT(TEXT($I17,"0.#"),1)=".",FALSE,TRUE)</formula>
    </cfRule>
    <cfRule type="expression" dxfId="304" priority="12">
      <formula>IF(RIGHT(TEXT($I17,"0.#"),1)=".",TRUE,FALSE)</formula>
    </cfRule>
  </conditionalFormatting>
  <conditionalFormatting sqref="I24">
    <cfRule type="expression" dxfId="303" priority="9">
      <formula>IF(RIGHT(TEXT($I24,"0.#"),1)=".",FALSE,TRUE)</formula>
    </cfRule>
    <cfRule type="expression" dxfId="302" priority="10">
      <formula>IF(RIGHT(TEXT($I24,"0.#"),1)=".",TRUE,FALSE)</formula>
    </cfRule>
  </conditionalFormatting>
  <conditionalFormatting sqref="I11">
    <cfRule type="expression" dxfId="301" priority="7">
      <formula>IF(RIGHT(TEXT($I11,"0.#"),1)=".",FALSE,TRUE)</formula>
    </cfRule>
    <cfRule type="expression" dxfId="300" priority="8">
      <formula>IF(RIGHT(TEXT($I11,"0.#"),1)=".",TRUE,FALSE)</formula>
    </cfRule>
  </conditionalFormatting>
  <conditionalFormatting sqref="I22">
    <cfRule type="expression" dxfId="299" priority="5">
      <formula>IF(RIGHT(TEXT($I22,"0.#"),1)=".",FALSE,TRUE)</formula>
    </cfRule>
    <cfRule type="expression" dxfId="298" priority="6">
      <formula>IF(RIGHT(TEXT($I24,"0.#"),1)=".",TRUE,FALSE)</formula>
    </cfRule>
  </conditionalFormatting>
  <conditionalFormatting sqref="I13">
    <cfRule type="expression" dxfId="297" priority="1">
      <formula>IF(RIGHT(TEXT($I13,"0.#"),1)=".",FALSE,TRUE)</formula>
    </cfRule>
    <cfRule type="expression" dxfId="296" priority="2">
      <formula>IF(RIGHT(TEXT($I13,"0.#"),1)=".",TRUE,FALSE)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'DB（削除禁止）'!$C$4:$C$7</xm:f>
          </x14:formula1>
          <xm:sqref>D9</xm:sqref>
        </x14:dataValidation>
        <x14:dataValidation type="list" allowBlank="1" showInputMessage="1" showErrorMessage="1">
          <x14:formula1>
            <xm:f>'DB別表3（削除禁止）'!$D$2:$D$4</xm:f>
          </x14:formula1>
          <xm:sqref>E20:F20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92"/>
  <sheetViews>
    <sheetView view="pageBreakPreview" zoomScale="85" zoomScaleNormal="85" zoomScaleSheetLayoutView="85" workbookViewId="0">
      <selection activeCell="C6" sqref="C6:F6"/>
    </sheetView>
  </sheetViews>
  <sheetFormatPr defaultColWidth="9" defaultRowHeight="13"/>
  <cols>
    <col min="1" max="1" width="1.26953125" style="44" customWidth="1"/>
    <col min="2" max="2" width="13.90625" style="44" bestFit="1" customWidth="1"/>
    <col min="3" max="3" width="14" style="44" customWidth="1"/>
    <col min="4" max="8" width="9" style="44" customWidth="1"/>
    <col min="9" max="9" width="15" style="6" customWidth="1"/>
    <col min="10" max="16384" width="9" style="44"/>
  </cols>
  <sheetData>
    <row r="1" spans="2:9" ht="18.75" customHeight="1">
      <c r="F1" s="233" t="s">
        <v>38</v>
      </c>
      <c r="G1" s="233"/>
      <c r="H1" s="233"/>
      <c r="I1" s="233"/>
    </row>
    <row r="2" spans="2:9" ht="40.5" customHeight="1">
      <c r="B2" s="234" t="s">
        <v>327</v>
      </c>
      <c r="C2" s="234"/>
      <c r="D2" s="234"/>
      <c r="E2" s="234"/>
      <c r="F2" s="234"/>
      <c r="G2" s="234"/>
      <c r="H2" s="234"/>
      <c r="I2" s="234"/>
    </row>
    <row r="3" spans="2:9" ht="18.75" customHeight="1">
      <c r="B3" s="43"/>
      <c r="C3" s="43"/>
      <c r="D3" s="43"/>
      <c r="E3" s="43"/>
      <c r="F3" s="43"/>
      <c r="G3" s="43"/>
      <c r="H3" s="43"/>
      <c r="I3" s="4"/>
    </row>
    <row r="4" spans="2:9" ht="18.75" customHeight="1">
      <c r="B4" s="9" t="s">
        <v>32</v>
      </c>
      <c r="C4" s="237"/>
      <c r="D4" s="237"/>
      <c r="E4" s="10"/>
      <c r="F4" s="10"/>
      <c r="G4" s="10"/>
      <c r="H4" s="10"/>
      <c r="I4" s="10"/>
    </row>
    <row r="5" spans="2:9" ht="18.75" customHeight="1">
      <c r="B5" s="9" t="s">
        <v>30</v>
      </c>
      <c r="C5" s="236"/>
      <c r="D5" s="236"/>
      <c r="E5" s="236"/>
      <c r="F5" s="41"/>
      <c r="G5" s="41"/>
      <c r="H5" s="41"/>
      <c r="I5" s="41"/>
    </row>
    <row r="6" spans="2:9" ht="18.75" customHeight="1">
      <c r="B6" s="9" t="s">
        <v>29</v>
      </c>
      <c r="C6" s="235" t="s">
        <v>95</v>
      </c>
      <c r="D6" s="235"/>
      <c r="E6" s="235"/>
      <c r="F6" s="235"/>
      <c r="G6" s="235"/>
      <c r="H6" s="235"/>
      <c r="I6" s="235"/>
    </row>
    <row r="7" spans="2:9" ht="18.75" customHeight="1">
      <c r="B7" s="9" t="s">
        <v>65</v>
      </c>
      <c r="C7" s="242" t="s">
        <v>26</v>
      </c>
      <c r="D7" s="242"/>
      <c r="E7" s="242"/>
      <c r="F7" s="242"/>
      <c r="G7" s="242"/>
      <c r="H7" s="242"/>
      <c r="I7" s="45"/>
    </row>
    <row r="8" spans="2:9" ht="18.75" customHeight="1"/>
    <row r="9" spans="2:9" ht="18.75" customHeight="1">
      <c r="C9" s="228" t="s">
        <v>27</v>
      </c>
      <c r="D9" s="228"/>
      <c r="E9" s="228"/>
      <c r="F9" s="228"/>
      <c r="G9" s="228"/>
      <c r="H9" s="228"/>
    </row>
    <row r="10" spans="2:9" ht="11.25" customHeight="1" thickBot="1">
      <c r="C10" s="40"/>
      <c r="D10" s="40"/>
      <c r="E10" s="40"/>
      <c r="F10" s="40"/>
      <c r="G10" s="40"/>
      <c r="H10" s="40"/>
    </row>
    <row r="11" spans="2:9" ht="18.75" customHeight="1" thickBot="1">
      <c r="C11" s="240" t="s">
        <v>145</v>
      </c>
      <c r="D11" s="240"/>
      <c r="E11" s="240"/>
      <c r="F11" s="240"/>
      <c r="G11" s="240"/>
      <c r="H11" s="240"/>
      <c r="I11" s="49" t="str">
        <f>IF(F12="","",F12*'DB（削除禁止）'!BI40)</f>
        <v/>
      </c>
    </row>
    <row r="12" spans="2:9" ht="18.75" customHeight="1" thickBot="1">
      <c r="C12" s="40"/>
      <c r="D12" s="259" t="s">
        <v>148</v>
      </c>
      <c r="E12" s="260"/>
      <c r="F12" s="36"/>
      <c r="G12" s="40"/>
      <c r="H12" s="40"/>
    </row>
    <row r="13" spans="2:9" ht="11.25" customHeight="1" thickBot="1">
      <c r="C13" s="40"/>
      <c r="D13" s="40"/>
      <c r="E13" s="40"/>
      <c r="F13" s="40"/>
      <c r="G13" s="40"/>
      <c r="H13" s="40"/>
    </row>
    <row r="14" spans="2:9" ht="18.75" customHeight="1" thickBot="1">
      <c r="C14" s="240" t="s">
        <v>146</v>
      </c>
      <c r="D14" s="240"/>
      <c r="E14" s="240"/>
      <c r="F14" s="240"/>
      <c r="G14" s="240"/>
      <c r="H14" s="240"/>
      <c r="I14" s="49" t="str">
        <f>IF(F15="","",F15*'DB（削除禁止）'!BI41)</f>
        <v/>
      </c>
    </row>
    <row r="15" spans="2:9" ht="18.75" customHeight="1" thickBot="1">
      <c r="C15" s="40"/>
      <c r="D15" s="259" t="s">
        <v>147</v>
      </c>
      <c r="E15" s="260"/>
      <c r="F15" s="36"/>
      <c r="H15" s="40"/>
    </row>
    <row r="16" spans="2:9" ht="11.25" customHeight="1">
      <c r="C16" s="40"/>
      <c r="D16" s="40"/>
      <c r="E16" s="40"/>
      <c r="F16" s="40"/>
      <c r="G16" s="40"/>
      <c r="H16" s="40"/>
    </row>
    <row r="17" spans="3:9" ht="18.75" customHeight="1">
      <c r="C17" s="228" t="s">
        <v>121</v>
      </c>
      <c r="D17" s="228"/>
      <c r="E17" s="228"/>
      <c r="F17" s="228"/>
      <c r="G17" s="228"/>
      <c r="H17" s="228"/>
      <c r="I17" s="44"/>
    </row>
    <row r="18" spans="3:9" ht="11.25" customHeight="1" thickBot="1"/>
    <row r="19" spans="3:9" ht="18.75" customHeight="1" thickBot="1">
      <c r="C19" s="228" t="s">
        <v>149</v>
      </c>
      <c r="D19" s="228"/>
      <c r="E19" s="228"/>
      <c r="F19" s="228"/>
      <c r="G19" s="228"/>
      <c r="H19" s="228"/>
      <c r="I19" s="142"/>
    </row>
    <row r="20" spans="3:9" ht="11.25" customHeight="1" thickBot="1"/>
    <row r="21" spans="3:9" ht="18.75" customHeight="1" thickBot="1">
      <c r="C21" s="253" t="s">
        <v>150</v>
      </c>
      <c r="D21" s="228"/>
      <c r="E21" s="228"/>
      <c r="F21" s="228"/>
      <c r="G21" s="228"/>
      <c r="H21" s="228"/>
      <c r="I21" s="142"/>
    </row>
    <row r="22" spans="3:9" ht="11.25" customHeight="1">
      <c r="C22" s="40"/>
      <c r="D22" s="40"/>
      <c r="E22" s="40"/>
      <c r="F22" s="40"/>
      <c r="G22" s="40"/>
      <c r="H22" s="40"/>
    </row>
    <row r="23" spans="3:9" ht="18.75" customHeight="1">
      <c r="C23" s="228" t="s">
        <v>122</v>
      </c>
      <c r="D23" s="228"/>
      <c r="E23" s="228"/>
      <c r="F23" s="228"/>
      <c r="G23" s="228"/>
      <c r="H23" s="228"/>
      <c r="I23" s="44"/>
    </row>
    <row r="24" spans="3:9" ht="11.25" customHeight="1" thickBot="1">
      <c r="I24" s="44"/>
    </row>
    <row r="25" spans="3:9" ht="18.75" customHeight="1" thickBot="1">
      <c r="C25" s="228" t="s">
        <v>149</v>
      </c>
      <c r="D25" s="228"/>
      <c r="E25" s="228"/>
      <c r="F25" s="228"/>
      <c r="G25" s="228"/>
      <c r="H25" s="228"/>
      <c r="I25" s="143" t="str">
        <f>IF(OR(I11="",I19=""),"",MIN(I11,I19))</f>
        <v/>
      </c>
    </row>
    <row r="26" spans="3:9" ht="11.25" customHeight="1" thickBot="1">
      <c r="I26" s="44"/>
    </row>
    <row r="27" spans="3:9" ht="18.75" customHeight="1" thickBot="1">
      <c r="C27" s="253" t="s">
        <v>150</v>
      </c>
      <c r="D27" s="228"/>
      <c r="E27" s="228"/>
      <c r="F27" s="228"/>
      <c r="G27" s="228"/>
      <c r="H27" s="228"/>
      <c r="I27" s="143" t="str">
        <f>IF(OR(I14="",I21=""),"",MIN(I14,I21))</f>
        <v/>
      </c>
    </row>
    <row r="28" spans="3:9" ht="11.25" customHeight="1" thickBot="1">
      <c r="I28" s="44"/>
    </row>
    <row r="29" spans="3:9" ht="18.75" customHeight="1" thickBot="1">
      <c r="H29" s="27" t="s">
        <v>134</v>
      </c>
      <c r="I29" s="143">
        <f>SUM(I25,I27)</f>
        <v>0</v>
      </c>
    </row>
    <row r="30" spans="3:9" ht="11.25" customHeight="1" thickBot="1">
      <c r="I30" s="44"/>
    </row>
    <row r="31" spans="3:9" ht="18.75" customHeight="1" thickBot="1">
      <c r="C31" s="228" t="s">
        <v>123</v>
      </c>
      <c r="D31" s="228"/>
      <c r="E31" s="228"/>
      <c r="F31" s="228"/>
      <c r="G31" s="228"/>
      <c r="H31" s="228"/>
      <c r="I31" s="8"/>
    </row>
    <row r="32" spans="3:9" ht="11.25" customHeight="1" thickBot="1"/>
    <row r="33" spans="2:10" ht="18.75" customHeight="1" thickBot="1">
      <c r="C33" s="240" t="s">
        <v>124</v>
      </c>
      <c r="D33" s="240"/>
      <c r="E33" s="240"/>
      <c r="F33" s="240"/>
      <c r="G33" s="240"/>
      <c r="H33" s="146" t="s">
        <v>42</v>
      </c>
      <c r="I33" s="143" t="str">
        <f>IF(AND(I25="",I27=""),"",ROUND((I25+I27)*I31,2))</f>
        <v/>
      </c>
    </row>
    <row r="34" spans="2:10" ht="11.25" customHeight="1" thickBot="1"/>
    <row r="35" spans="2:10" ht="18.75" customHeight="1" thickBot="1">
      <c r="C35" s="228" t="s">
        <v>125</v>
      </c>
      <c r="D35" s="228"/>
      <c r="E35" s="228"/>
      <c r="F35" s="228"/>
      <c r="G35" s="228"/>
      <c r="H35" s="228"/>
      <c r="I35" s="14" t="str">
        <f>IF(E36="","",VLOOKUP(E36,'DB別表3（削除禁止）'!$E$37:$F$46,2,FALSE))</f>
        <v/>
      </c>
      <c r="J35" s="60"/>
    </row>
    <row r="36" spans="2:10" s="60" customFormat="1" ht="18.75" customHeight="1">
      <c r="C36" s="231" t="s">
        <v>205</v>
      </c>
      <c r="D36" s="231"/>
      <c r="E36" s="232"/>
      <c r="F36" s="232"/>
      <c r="G36" s="232"/>
      <c r="H36" s="232"/>
    </row>
    <row r="37" spans="2:10" ht="11.25" customHeight="1" thickBot="1"/>
    <row r="38" spans="2:10" ht="18.75" customHeight="1" thickBot="1">
      <c r="C38" s="228" t="s">
        <v>126</v>
      </c>
      <c r="D38" s="228"/>
      <c r="E38" s="228"/>
      <c r="F38" s="228"/>
      <c r="G38" s="228"/>
      <c r="H38" s="228"/>
      <c r="I38" s="142"/>
    </row>
    <row r="39" spans="2:10" ht="11.25" customHeight="1" thickBot="1"/>
    <row r="40" spans="2:10" ht="18.75" customHeight="1" thickBot="1">
      <c r="C40" s="228" t="s">
        <v>127</v>
      </c>
      <c r="D40" s="228"/>
      <c r="E40" s="228"/>
      <c r="F40" s="228"/>
      <c r="G40" s="228"/>
      <c r="H40" s="146" t="s">
        <v>43</v>
      </c>
      <c r="I40" s="143" t="str">
        <f>IF(OR(I33="",I35="",I38=""),"",MIN(I35,I38))</f>
        <v/>
      </c>
    </row>
    <row r="41" spans="2:10" ht="11.25" customHeight="1" thickBot="1"/>
    <row r="42" spans="2:10" ht="18.75" customHeight="1" thickBot="1">
      <c r="C42" s="240" t="s">
        <v>244</v>
      </c>
      <c r="D42" s="240"/>
      <c r="E42" s="240"/>
      <c r="F42" s="240"/>
      <c r="G42" s="240"/>
      <c r="I42" s="54" t="str">
        <f>IF(F43="","",F43*'DB（削除禁止）'!BI44)</f>
        <v/>
      </c>
    </row>
    <row r="43" spans="2:10" ht="18.75" customHeight="1" thickBot="1">
      <c r="D43" s="259" t="s">
        <v>151</v>
      </c>
      <c r="E43" s="260"/>
      <c r="F43" s="36"/>
      <c r="I43" s="53"/>
    </row>
    <row r="44" spans="2:10" ht="18.75" customHeight="1">
      <c r="C44" s="255" t="s">
        <v>315</v>
      </c>
      <c r="D44" s="255"/>
      <c r="E44" s="255"/>
      <c r="F44" s="255"/>
      <c r="G44" s="255"/>
      <c r="H44" s="255"/>
      <c r="I44" s="255"/>
    </row>
    <row r="45" spans="2:10" ht="11.25" customHeight="1" thickBot="1"/>
    <row r="46" spans="2:10" ht="18.75" customHeight="1" thickBot="1">
      <c r="C46" s="240" t="s">
        <v>152</v>
      </c>
      <c r="D46" s="240"/>
      <c r="E46" s="240"/>
      <c r="F46" s="240"/>
      <c r="G46" s="240"/>
      <c r="H46" s="146" t="s">
        <v>33</v>
      </c>
      <c r="I46" s="145" t="str">
        <f>IF(I29=0,I42,ROUND(I33*I40,0)+I42)</f>
        <v/>
      </c>
    </row>
    <row r="47" spans="2:10" ht="11.25" customHeight="1">
      <c r="B47" s="229"/>
      <c r="C47" s="229"/>
      <c r="D47" s="229"/>
      <c r="E47" s="229"/>
    </row>
    <row r="48" spans="2:10" ht="11.25" customHeight="1">
      <c r="B48" s="39"/>
      <c r="C48" s="39"/>
      <c r="D48" s="39"/>
      <c r="E48" s="39"/>
    </row>
    <row r="49" spans="1:9" ht="18.75" customHeight="1">
      <c r="B49" s="238" t="s">
        <v>137</v>
      </c>
      <c r="C49" s="238"/>
      <c r="D49" s="238"/>
      <c r="E49" s="238"/>
      <c r="F49" s="238"/>
      <c r="G49" s="238"/>
      <c r="H49" s="238"/>
      <c r="I49" s="238"/>
    </row>
    <row r="50" spans="1:9" ht="18.75" customHeight="1">
      <c r="A50" s="44" t="s">
        <v>34</v>
      </c>
      <c r="B50" s="238" t="s">
        <v>138</v>
      </c>
      <c r="C50" s="238"/>
      <c r="D50" s="238"/>
      <c r="E50" s="238"/>
      <c r="F50" s="238"/>
      <c r="G50" s="238"/>
      <c r="H50" s="238"/>
      <c r="I50" s="238"/>
    </row>
    <row r="51" spans="1:9" ht="18.75" customHeight="1">
      <c r="B51" s="43"/>
      <c r="C51" s="43"/>
      <c r="D51" s="43"/>
      <c r="E51" s="43"/>
      <c r="F51" s="43"/>
      <c r="G51" s="43"/>
      <c r="H51" s="43"/>
      <c r="I51" s="4"/>
    </row>
    <row r="52" spans="1:9" ht="18.75" customHeight="1"/>
    <row r="53" spans="1:9" ht="18.75" customHeight="1"/>
    <row r="54" spans="1:9" ht="18.75" customHeight="1"/>
    <row r="55" spans="1:9" ht="18.75" customHeight="1"/>
    <row r="56" spans="1:9" ht="18.75" customHeight="1"/>
    <row r="57" spans="1:9" ht="18.75" customHeight="1"/>
    <row r="58" spans="1:9" ht="18.75" customHeight="1"/>
    <row r="59" spans="1:9" ht="18.75" customHeight="1"/>
    <row r="60" spans="1:9" ht="18.75" customHeight="1"/>
    <row r="61" spans="1:9" ht="18.75" customHeight="1"/>
    <row r="62" spans="1:9" ht="18.75" customHeight="1"/>
    <row r="63" spans="1:9" ht="18.75" customHeight="1"/>
    <row r="64" spans="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sheetData>
  <mergeCells count="31">
    <mergeCell ref="C36:D36"/>
    <mergeCell ref="E36:H36"/>
    <mergeCell ref="B49:I49"/>
    <mergeCell ref="B50:I50"/>
    <mergeCell ref="C11:H11"/>
    <mergeCell ref="C14:H14"/>
    <mergeCell ref="D15:E15"/>
    <mergeCell ref="D12:E12"/>
    <mergeCell ref="D43:E43"/>
    <mergeCell ref="C44:I44"/>
    <mergeCell ref="C46:G46"/>
    <mergeCell ref="B47:E47"/>
    <mergeCell ref="C38:H38"/>
    <mergeCell ref="C40:G40"/>
    <mergeCell ref="C42:G42"/>
    <mergeCell ref="C31:H31"/>
    <mergeCell ref="C33:G33"/>
    <mergeCell ref="C35:H35"/>
    <mergeCell ref="C23:H23"/>
    <mergeCell ref="C25:H25"/>
    <mergeCell ref="C27:H27"/>
    <mergeCell ref="C17:H17"/>
    <mergeCell ref="C19:H19"/>
    <mergeCell ref="C21:H21"/>
    <mergeCell ref="C7:H7"/>
    <mergeCell ref="C9:H9"/>
    <mergeCell ref="F1:I1"/>
    <mergeCell ref="B2:I2"/>
    <mergeCell ref="C4:D4"/>
    <mergeCell ref="C5:E5"/>
    <mergeCell ref="C6:I6"/>
  </mergeCells>
  <phoneticPr fontId="1"/>
  <conditionalFormatting sqref="I19">
    <cfRule type="expression" dxfId="135" priority="15">
      <formula>IF(RIGHT(TEXT($I19,"0.#"),1)=".",FALSE,TRUE)</formula>
    </cfRule>
    <cfRule type="expression" dxfId="134" priority="16">
      <formula>IF(RIGHT(TEXT($I19,"0.#"),1)=".",TRUE,FALSE)</formula>
    </cfRule>
  </conditionalFormatting>
  <conditionalFormatting sqref="I21">
    <cfRule type="expression" dxfId="133" priority="13">
      <formula>IF(RIGHT(TEXT($I21,"0.#"),1)=".",FALSE,TRUE)</formula>
    </cfRule>
    <cfRule type="expression" dxfId="132" priority="14">
      <formula>IF(RIGHT(TEXT($I21,"0.#"),1)=".",TRUE,FALSE)</formula>
    </cfRule>
  </conditionalFormatting>
  <conditionalFormatting sqref="I25">
    <cfRule type="expression" dxfId="131" priority="11">
      <formula>IF(RIGHT(TEXT($I25,"0.#"),1)=".",FALSE,TRUE)</formula>
    </cfRule>
    <cfRule type="expression" dxfId="130" priority="12">
      <formula>IF(RIGHT(TEXT($I25,"0.#"),1)=".",TRUE,FALSE)</formula>
    </cfRule>
  </conditionalFormatting>
  <conditionalFormatting sqref="I27">
    <cfRule type="expression" dxfId="129" priority="9">
      <formula>IF(RIGHT(TEXT($I27,"0.#"),1)=".",FALSE,TRUE)</formula>
    </cfRule>
    <cfRule type="expression" dxfId="128" priority="10">
      <formula>IF(RIGHT(TEXT($I27,"0.#"),1)=".",TRUE,FALSE)</formula>
    </cfRule>
  </conditionalFormatting>
  <conditionalFormatting sqref="I29">
    <cfRule type="expression" dxfId="127" priority="7">
      <formula>IF(RIGHT(TEXT($I29,"0.#"),1)=".",FALSE,TRUE)</formula>
    </cfRule>
    <cfRule type="expression" dxfId="126" priority="8">
      <formula>IF(RIGHT(TEXT($I29,"0.#"),1)=".",TRUE,FALSE)</formula>
    </cfRule>
  </conditionalFormatting>
  <conditionalFormatting sqref="I38">
    <cfRule type="expression" dxfId="125" priority="5">
      <formula>IF(RIGHT(TEXT($I38,"0.#"),1)=".",FALSE,TRUE)</formula>
    </cfRule>
    <cfRule type="expression" dxfId="124" priority="6">
      <formula>IF(RIGHT(TEXT($I38,"0.#"),1)=".",TRUE,FALSE)</formula>
    </cfRule>
  </conditionalFormatting>
  <conditionalFormatting sqref="I40">
    <cfRule type="expression" dxfId="123" priority="3">
      <formula>IF(RIGHT(TEXT($I40,"0.#"),1)=".",FALSE,TRUE)</formula>
    </cfRule>
    <cfRule type="expression" dxfId="122" priority="4">
      <formula>IF(RIGHT(TEXT($I40,"0.#"),1)=".",TRUE,FALSE)</formula>
    </cfRule>
  </conditionalFormatting>
  <conditionalFormatting sqref="I33">
    <cfRule type="expression" dxfId="121" priority="1">
      <formula>IF(RIGHT(TEXT($I33,"0.#"),1)=".",FALSE,TRUE)</formula>
    </cfRule>
    <cfRule type="expression" dxfId="120" priority="2">
      <formula>IF(RIGHT(TEXT($I33,"0.#"),1)=".",TRUE,FALSE)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'DB別表3（削除禁止）'!$E$37:$E$46</xm:f>
          </x14:formula1>
          <xm:sqref>E36:H36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50"/>
  <sheetViews>
    <sheetView view="pageBreakPreview" topLeftCell="A4" zoomScale="85" zoomScaleNormal="85" zoomScaleSheetLayoutView="85" workbookViewId="0">
      <selection activeCell="C6" sqref="C6:F6"/>
    </sheetView>
  </sheetViews>
  <sheetFormatPr defaultColWidth="9" defaultRowHeight="18" customHeight="1"/>
  <cols>
    <col min="1" max="1" width="1.26953125" style="60" customWidth="1"/>
    <col min="2" max="2" width="13.90625" style="60" bestFit="1" customWidth="1"/>
    <col min="3" max="3" width="14" style="60" customWidth="1"/>
    <col min="4" max="8" width="9" style="60" customWidth="1"/>
    <col min="9" max="9" width="15" style="6" customWidth="1"/>
    <col min="10" max="16384" width="9" style="60"/>
  </cols>
  <sheetData>
    <row r="1" spans="2:9" s="136" customFormat="1" ht="18.75" customHeight="1">
      <c r="F1" s="233" t="s">
        <v>38</v>
      </c>
      <c r="G1" s="233"/>
      <c r="H1" s="233"/>
      <c r="I1" s="233"/>
    </row>
    <row r="2" spans="2:9" s="136" customFormat="1" ht="40.5" customHeight="1">
      <c r="B2" s="234" t="s">
        <v>327</v>
      </c>
      <c r="C2" s="234"/>
      <c r="D2" s="234"/>
      <c r="E2" s="234"/>
      <c r="F2" s="234"/>
      <c r="G2" s="234"/>
      <c r="H2" s="234"/>
      <c r="I2" s="234"/>
    </row>
    <row r="3" spans="2:9" s="136" customFormat="1" ht="18.75" customHeight="1">
      <c r="B3" s="133"/>
      <c r="C3" s="133"/>
      <c r="D3" s="133"/>
      <c r="E3" s="133"/>
      <c r="F3" s="133"/>
      <c r="G3" s="133"/>
      <c r="H3" s="133"/>
      <c r="I3" s="4"/>
    </row>
    <row r="4" spans="2:9" s="136" customFormat="1" ht="18.75" customHeight="1">
      <c r="B4" s="9" t="s">
        <v>32</v>
      </c>
      <c r="C4" s="237"/>
      <c r="D4" s="237"/>
      <c r="E4" s="10"/>
      <c r="F4" s="10"/>
      <c r="G4" s="10"/>
      <c r="H4" s="10"/>
      <c r="I4" s="10"/>
    </row>
    <row r="5" spans="2:9" s="136" customFormat="1" ht="18.75" customHeight="1">
      <c r="B5" s="9" t="s">
        <v>30</v>
      </c>
      <c r="C5" s="236"/>
      <c r="D5" s="236"/>
      <c r="E5" s="236"/>
      <c r="F5" s="135"/>
      <c r="G5" s="135"/>
      <c r="H5" s="135"/>
      <c r="I5" s="135"/>
    </row>
    <row r="6" spans="2:9" s="136" customFormat="1" ht="18.75" customHeight="1">
      <c r="B6" s="9" t="s">
        <v>29</v>
      </c>
      <c r="C6" s="235" t="s">
        <v>95</v>
      </c>
      <c r="D6" s="235"/>
      <c r="E6" s="235"/>
      <c r="F6" s="235"/>
      <c r="G6" s="235"/>
      <c r="H6" s="235"/>
      <c r="I6" s="235"/>
    </row>
    <row r="7" spans="2:9" ht="18.75" customHeight="1">
      <c r="B7" s="9"/>
      <c r="C7" s="58"/>
      <c r="D7" s="58"/>
      <c r="E7" s="58"/>
      <c r="F7" s="58"/>
      <c r="G7" s="58"/>
      <c r="H7" s="58"/>
      <c r="I7" s="58"/>
    </row>
    <row r="8" spans="2:9" ht="18.75" customHeight="1">
      <c r="B8" s="9" t="s">
        <v>65</v>
      </c>
      <c r="C8" s="58" t="s">
        <v>156</v>
      </c>
      <c r="D8" s="58"/>
      <c r="E8" s="58"/>
      <c r="F8" s="58"/>
      <c r="G8" s="58"/>
      <c r="H8" s="58"/>
      <c r="I8" s="61"/>
    </row>
    <row r="9" spans="2:9" ht="12" customHeight="1">
      <c r="B9" s="9"/>
      <c r="C9" s="58"/>
      <c r="D9" s="58"/>
      <c r="E9" s="58"/>
      <c r="F9" s="58"/>
      <c r="G9" s="58"/>
      <c r="H9" s="58"/>
      <c r="I9" s="61"/>
    </row>
    <row r="10" spans="2:9" ht="18.75" customHeight="1">
      <c r="B10" s="9"/>
      <c r="C10" s="60" t="s">
        <v>157</v>
      </c>
      <c r="D10" s="58"/>
      <c r="E10" s="58"/>
      <c r="F10" s="58"/>
      <c r="G10" s="58"/>
      <c r="I10" s="61"/>
    </row>
    <row r="11" spans="2:9" ht="12" customHeight="1" thickBot="1">
      <c r="B11" s="9"/>
      <c r="C11" s="58"/>
      <c r="D11" s="58"/>
      <c r="E11" s="58"/>
      <c r="F11" s="58"/>
      <c r="G11" s="58"/>
      <c r="H11" s="58"/>
      <c r="I11" s="61"/>
    </row>
    <row r="12" spans="2:9" ht="18.75" customHeight="1" thickBot="1">
      <c r="B12" s="9"/>
      <c r="C12" s="60" t="s">
        <v>158</v>
      </c>
      <c r="H12" s="36"/>
      <c r="I12" s="60"/>
    </row>
    <row r="13" spans="2:9" ht="12" customHeight="1" thickBot="1">
      <c r="B13" s="9"/>
      <c r="I13" s="60"/>
    </row>
    <row r="14" spans="2:9" ht="18.75" customHeight="1" thickBot="1">
      <c r="B14" s="9"/>
      <c r="C14" s="60" t="s">
        <v>159</v>
      </c>
      <c r="H14" s="36"/>
      <c r="I14" s="60"/>
    </row>
    <row r="15" spans="2:9" ht="12" customHeight="1" thickBot="1">
      <c r="B15" s="9"/>
      <c r="I15" s="60"/>
    </row>
    <row r="16" spans="2:9" ht="18.75" customHeight="1" thickBot="1">
      <c r="B16" s="9"/>
      <c r="C16" s="60" t="s">
        <v>160</v>
      </c>
      <c r="H16" s="48" t="str">
        <f>IF(OR(H12="",H14=""),"",MIN(H12,H14))</f>
        <v/>
      </c>
      <c r="I16" s="60"/>
    </row>
    <row r="17" spans="2:9" ht="12" customHeight="1" thickBot="1">
      <c r="B17" s="9"/>
      <c r="I17" s="60"/>
    </row>
    <row r="18" spans="2:9" ht="18.75" customHeight="1" thickBot="1">
      <c r="C18" s="240" t="s">
        <v>161</v>
      </c>
      <c r="D18" s="240"/>
      <c r="E18" s="240"/>
      <c r="F18" s="240"/>
      <c r="G18" s="240"/>
      <c r="H18" s="146" t="s">
        <v>43</v>
      </c>
      <c r="I18" s="14" t="str">
        <f>IF(D19="","",VLOOKUP(D19,'DB（削除禁止）'!$BH$48:$BI$50,2,FALSE))</f>
        <v/>
      </c>
    </row>
    <row r="19" spans="2:9" ht="18.75" customHeight="1">
      <c r="C19" s="59" t="s">
        <v>48</v>
      </c>
      <c r="D19" s="62"/>
    </row>
    <row r="20" spans="2:9" ht="12" customHeight="1" thickBot="1"/>
    <row r="21" spans="2:9" ht="18.75" customHeight="1" thickBot="1">
      <c r="C21" s="240" t="s">
        <v>37</v>
      </c>
      <c r="D21" s="240"/>
      <c r="E21" s="240"/>
      <c r="F21" s="240"/>
      <c r="G21" s="240"/>
      <c r="H21" s="159" t="s">
        <v>42</v>
      </c>
      <c r="I21" s="8"/>
    </row>
    <row r="22" spans="2:9" ht="12" customHeight="1" thickBot="1"/>
    <row r="23" spans="2:9" ht="18.75" customHeight="1" thickBot="1">
      <c r="C23" s="228" t="s">
        <v>104</v>
      </c>
      <c r="D23" s="228"/>
      <c r="E23" s="228"/>
      <c r="F23" s="228"/>
      <c r="G23" s="228"/>
      <c r="H23" s="146" t="s">
        <v>33</v>
      </c>
      <c r="I23" s="143" t="e">
        <f>ROUND(H16*I18*I21,0)</f>
        <v>#VALUE!</v>
      </c>
    </row>
    <row r="24" spans="2:9" ht="12" customHeight="1">
      <c r="C24" s="57"/>
      <c r="D24" s="57"/>
      <c r="E24" s="57"/>
      <c r="F24" s="57"/>
      <c r="G24" s="57"/>
      <c r="H24" s="63"/>
      <c r="I24" s="60"/>
    </row>
    <row r="25" spans="2:9" ht="12" customHeight="1">
      <c r="C25" s="57"/>
      <c r="D25" s="57"/>
      <c r="E25" s="57"/>
      <c r="F25" s="57"/>
      <c r="G25" s="57"/>
      <c r="H25" s="63"/>
      <c r="I25" s="60"/>
    </row>
    <row r="26" spans="2:9" ht="18.75" customHeight="1">
      <c r="B26" s="9" t="s">
        <v>65</v>
      </c>
      <c r="C26" s="261" t="s">
        <v>165</v>
      </c>
      <c r="D26" s="261"/>
      <c r="E26" s="261"/>
      <c r="F26" s="261"/>
      <c r="G26" s="261"/>
      <c r="H26" s="261"/>
      <c r="I26" s="261"/>
    </row>
    <row r="27" spans="2:9" ht="18" customHeight="1" thickBot="1">
      <c r="C27" s="261"/>
      <c r="D27" s="261"/>
      <c r="E27" s="261"/>
      <c r="F27" s="261"/>
      <c r="G27" s="261"/>
      <c r="H27" s="261"/>
      <c r="I27" s="261"/>
    </row>
    <row r="28" spans="2:9" ht="18.75" customHeight="1" thickBot="1">
      <c r="C28" s="228" t="s">
        <v>27</v>
      </c>
      <c r="D28" s="228"/>
      <c r="E28" s="228"/>
      <c r="F28" s="228"/>
      <c r="G28" s="228"/>
      <c r="H28" s="228"/>
      <c r="I28" s="14">
        <f>'DB（削除禁止）'!BI53</f>
        <v>160</v>
      </c>
    </row>
    <row r="29" spans="2:9" ht="12" customHeight="1" thickBot="1"/>
    <row r="30" spans="2:9" ht="18.75" customHeight="1" thickBot="1">
      <c r="C30" s="228" t="s">
        <v>28</v>
      </c>
      <c r="D30" s="228"/>
      <c r="E30" s="228"/>
      <c r="F30" s="228"/>
      <c r="G30" s="228"/>
      <c r="H30" s="228"/>
      <c r="I30" s="142"/>
    </row>
    <row r="31" spans="2:9" ht="12" customHeight="1" thickBot="1"/>
    <row r="32" spans="2:9" ht="18.75" customHeight="1" thickBot="1">
      <c r="C32" s="228" t="s">
        <v>40</v>
      </c>
      <c r="D32" s="228"/>
      <c r="E32" s="228"/>
      <c r="F32" s="228"/>
      <c r="G32" s="228"/>
      <c r="H32" s="228"/>
      <c r="I32" s="143" t="str">
        <f>IF(I30="","",MIN(I28,I30))</f>
        <v/>
      </c>
    </row>
    <row r="33" spans="2:9" ht="12" customHeight="1" thickBot="1">
      <c r="I33" s="60"/>
    </row>
    <row r="34" spans="2:9" ht="18.75" customHeight="1" thickBot="1">
      <c r="C34" s="228" t="s">
        <v>41</v>
      </c>
      <c r="D34" s="228"/>
      <c r="E34" s="228"/>
      <c r="F34" s="228"/>
      <c r="G34" s="228"/>
      <c r="H34" s="228"/>
      <c r="I34" s="8"/>
    </row>
    <row r="35" spans="2:9" ht="12" customHeight="1" thickBot="1"/>
    <row r="36" spans="2:9" ht="18.75" customHeight="1" thickBot="1">
      <c r="C36" s="240" t="s">
        <v>108</v>
      </c>
      <c r="D36" s="240"/>
      <c r="E36" s="240"/>
      <c r="F36" s="240"/>
      <c r="G36" s="240"/>
      <c r="H36" s="146" t="s">
        <v>42</v>
      </c>
      <c r="I36" s="143" t="e">
        <f>ROUND(I32*I34,2)</f>
        <v>#VALUE!</v>
      </c>
    </row>
    <row r="37" spans="2:9" ht="12" customHeight="1" thickBot="1"/>
    <row r="38" spans="2:9" ht="18.75" customHeight="1" thickBot="1">
      <c r="C38" s="228" t="s">
        <v>98</v>
      </c>
      <c r="D38" s="228"/>
      <c r="E38" s="228"/>
      <c r="F38" s="228"/>
      <c r="G38" s="228"/>
      <c r="H38" s="228"/>
      <c r="I38" s="14" t="str">
        <f>IF(E39="","",VLOOKUP(E39,'DB別表3（削除禁止）'!$E$37:$F$46,2,FALSE))</f>
        <v/>
      </c>
    </row>
    <row r="39" spans="2:9" ht="18.75" customHeight="1">
      <c r="C39" s="231" t="s">
        <v>92</v>
      </c>
      <c r="D39" s="231"/>
      <c r="E39" s="232"/>
      <c r="F39" s="232"/>
      <c r="G39" s="232"/>
      <c r="H39" s="232"/>
      <c r="I39" s="132"/>
    </row>
    <row r="40" spans="2:9" ht="12" customHeight="1" thickBot="1"/>
    <row r="41" spans="2:9" ht="18.75" customHeight="1" thickBot="1">
      <c r="C41" s="228" t="s">
        <v>99</v>
      </c>
      <c r="D41" s="228"/>
      <c r="E41" s="228"/>
      <c r="F41" s="228"/>
      <c r="G41" s="228"/>
      <c r="H41" s="228"/>
      <c r="I41" s="142"/>
    </row>
    <row r="42" spans="2:9" ht="12" customHeight="1" thickBot="1"/>
    <row r="43" spans="2:9" ht="18.75" customHeight="1" thickBot="1">
      <c r="C43" s="228" t="s">
        <v>100</v>
      </c>
      <c r="D43" s="228"/>
      <c r="E43" s="228"/>
      <c r="F43" s="228"/>
      <c r="G43" s="228"/>
      <c r="H43" s="146" t="s">
        <v>43</v>
      </c>
      <c r="I43" s="143" t="str">
        <f>IF(OR(I38="",I41=""),"",MIN(I38,I41))</f>
        <v/>
      </c>
    </row>
    <row r="44" spans="2:9" ht="12" customHeight="1" thickBot="1"/>
    <row r="45" spans="2:9" ht="18.75" customHeight="1" thickBot="1">
      <c r="C45" s="240" t="s">
        <v>107</v>
      </c>
      <c r="D45" s="240"/>
      <c r="E45" s="240"/>
      <c r="F45" s="240"/>
      <c r="G45" s="240"/>
      <c r="H45" s="146" t="s">
        <v>33</v>
      </c>
      <c r="I45" s="145" t="e">
        <f>ROUND(I36*I43,0)</f>
        <v>#VALUE!</v>
      </c>
    </row>
    <row r="46" spans="2:9" ht="12" customHeight="1">
      <c r="B46" s="229"/>
      <c r="C46" s="229"/>
      <c r="D46" s="229"/>
      <c r="E46" s="229"/>
    </row>
    <row r="47" spans="2:9" ht="12" customHeight="1">
      <c r="B47" s="55"/>
      <c r="C47" s="55"/>
      <c r="D47" s="55"/>
      <c r="E47" s="55"/>
    </row>
    <row r="48" spans="2:9" ht="18.75" customHeight="1">
      <c r="B48" s="238" t="s">
        <v>137</v>
      </c>
      <c r="C48" s="238"/>
      <c r="D48" s="238"/>
      <c r="E48" s="238"/>
      <c r="F48" s="238"/>
      <c r="G48" s="238"/>
      <c r="H48" s="238"/>
      <c r="I48" s="238"/>
    </row>
    <row r="49" spans="1:9" ht="18.75" customHeight="1">
      <c r="A49" s="60" t="s">
        <v>34</v>
      </c>
      <c r="B49" s="238" t="s">
        <v>138</v>
      </c>
      <c r="C49" s="238"/>
      <c r="D49" s="238"/>
      <c r="E49" s="238"/>
      <c r="F49" s="238"/>
      <c r="G49" s="238"/>
      <c r="H49" s="238"/>
      <c r="I49" s="238"/>
    </row>
    <row r="50" spans="1:9" ht="18.75" customHeight="1">
      <c r="B50" s="56"/>
      <c r="C50" s="56"/>
      <c r="D50" s="56"/>
      <c r="E50" s="56"/>
      <c r="F50" s="56"/>
      <c r="G50" s="56"/>
      <c r="H50" s="56"/>
      <c r="I50" s="4"/>
    </row>
  </sheetData>
  <mergeCells count="23">
    <mergeCell ref="B49:I49"/>
    <mergeCell ref="C28:H28"/>
    <mergeCell ref="C30:H30"/>
    <mergeCell ref="C32:H32"/>
    <mergeCell ref="C34:H34"/>
    <mergeCell ref="C36:G36"/>
    <mergeCell ref="C38:H38"/>
    <mergeCell ref="C41:H41"/>
    <mergeCell ref="C43:G43"/>
    <mergeCell ref="C45:G45"/>
    <mergeCell ref="B46:E46"/>
    <mergeCell ref="B48:I48"/>
    <mergeCell ref="C23:G23"/>
    <mergeCell ref="C26:I27"/>
    <mergeCell ref="C39:D39"/>
    <mergeCell ref="E39:H39"/>
    <mergeCell ref="C21:G21"/>
    <mergeCell ref="C18:G18"/>
    <mergeCell ref="F1:I1"/>
    <mergeCell ref="B2:I2"/>
    <mergeCell ref="C4:D4"/>
    <mergeCell ref="C5:E5"/>
    <mergeCell ref="C6:I6"/>
  </mergeCells>
  <phoneticPr fontId="1"/>
  <conditionalFormatting sqref="I30">
    <cfRule type="expression" dxfId="119" priority="9">
      <formula>IF(RIGHT(TEXT($I30,"0.#"),1)=".",FALSE,TRUE)</formula>
    </cfRule>
    <cfRule type="expression" dxfId="118" priority="10">
      <formula>IF(RIGHT(TEXT($I30,"0.#"),1)=".",TRUE,FALSE)</formula>
    </cfRule>
  </conditionalFormatting>
  <conditionalFormatting sqref="I32">
    <cfRule type="expression" dxfId="117" priority="7">
      <formula>IF(RIGHT(TEXT($I32,"0.#"),1)=".",FALSE,TRUE)</formula>
    </cfRule>
    <cfRule type="expression" dxfId="116" priority="8">
      <formula>IF(RIGHT(TEXT($I32,"0.#"),1)=".",TRUE,FALSE)</formula>
    </cfRule>
  </conditionalFormatting>
  <conditionalFormatting sqref="I36">
    <cfRule type="expression" dxfId="115" priority="5">
      <formula>IF(RIGHT(TEXT($I36,"0.#"),1)=".",FALSE,TRUE)</formula>
    </cfRule>
    <cfRule type="expression" dxfId="114" priority="6">
      <formula>IF(RIGHT(TEXT($I36,"0.#"),1)=".",TRUE,FALSE)</formula>
    </cfRule>
  </conditionalFormatting>
  <conditionalFormatting sqref="I43">
    <cfRule type="expression" dxfId="113" priority="3">
      <formula>IF(RIGHT(TEXT($I43,"0.#"),1)=".",FALSE,TRUE)</formula>
    </cfRule>
    <cfRule type="expression" dxfId="112" priority="4">
      <formula>IF(RIGHT(TEXT($I43,"0.#"),1)=".",TRUE,FALSE)</formula>
    </cfRule>
  </conditionalFormatting>
  <conditionalFormatting sqref="I41">
    <cfRule type="expression" dxfId="111" priority="1">
      <formula>IF(RIGHT(TEXT($I41,"0.#"),1)=".",FALSE,TRUE)</formula>
    </cfRule>
    <cfRule type="expression" dxfId="110" priority="2">
      <formula>IF(RIGHT(TEXT($I41,"0.#"),1)=".",TRUE,FALSE)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'DB（削除禁止）'!$BH$48:$BH$50</xm:f>
          </x14:formula1>
          <xm:sqref>D19</xm:sqref>
        </x14:dataValidation>
        <x14:dataValidation type="list" allowBlank="1" showInputMessage="1" showErrorMessage="1">
          <x14:formula1>
            <xm:f>'DB別表3（削除禁止）'!$E$37:$E$46</xm:f>
          </x14:formula1>
          <xm:sqref>E39:H39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view="pageBreakPreview" zoomScaleNormal="100" zoomScaleSheetLayoutView="100" workbookViewId="0">
      <selection activeCell="I9" sqref="I9"/>
    </sheetView>
  </sheetViews>
  <sheetFormatPr defaultColWidth="9" defaultRowHeight="13"/>
  <cols>
    <col min="1" max="1" width="1.26953125" style="178" customWidth="1"/>
    <col min="2" max="2" width="13.90625" style="178" bestFit="1" customWidth="1"/>
    <col min="3" max="3" width="14" style="178" customWidth="1"/>
    <col min="4" max="5" width="9" style="178"/>
    <col min="6" max="8" width="9" style="178" customWidth="1"/>
    <col min="9" max="9" width="15" style="6" customWidth="1"/>
    <col min="10" max="16384" width="9" style="178"/>
  </cols>
  <sheetData>
    <row r="1" spans="2:10" ht="18.75" customHeight="1">
      <c r="G1" s="233" t="s">
        <v>38</v>
      </c>
      <c r="H1" s="233"/>
      <c r="I1" s="233"/>
    </row>
    <row r="2" spans="2:10" ht="40.5" customHeight="1">
      <c r="B2" s="234" t="s">
        <v>327</v>
      </c>
      <c r="C2" s="234"/>
      <c r="D2" s="234"/>
      <c r="E2" s="234"/>
      <c r="F2" s="234"/>
      <c r="G2" s="234"/>
      <c r="H2" s="234"/>
      <c r="I2" s="234"/>
    </row>
    <row r="3" spans="2:10" ht="18.75" customHeight="1">
      <c r="B3" s="176"/>
      <c r="C3" s="176"/>
      <c r="D3" s="176"/>
      <c r="E3" s="176"/>
      <c r="F3" s="176"/>
      <c r="G3" s="176"/>
      <c r="H3" s="176"/>
      <c r="I3" s="4"/>
    </row>
    <row r="4" spans="2:10" ht="18.75" customHeight="1">
      <c r="B4" s="9" t="s">
        <v>32</v>
      </c>
      <c r="C4" s="237"/>
      <c r="D4" s="237"/>
      <c r="E4" s="10"/>
      <c r="F4" s="10"/>
      <c r="G4" s="10"/>
      <c r="H4" s="10"/>
      <c r="I4" s="10"/>
    </row>
    <row r="5" spans="2:10" ht="18.75" customHeight="1">
      <c r="B5" s="9" t="s">
        <v>30</v>
      </c>
      <c r="C5" s="236"/>
      <c r="D5" s="236"/>
      <c r="E5" s="236"/>
      <c r="F5" s="177"/>
      <c r="G5" s="177"/>
      <c r="H5" s="177"/>
      <c r="I5" s="177"/>
    </row>
    <row r="6" spans="2:10" ht="18.75" customHeight="1">
      <c r="B6" s="9" t="s">
        <v>29</v>
      </c>
      <c r="C6" s="263" t="s">
        <v>409</v>
      </c>
      <c r="D6" s="263"/>
      <c r="E6" s="263"/>
      <c r="F6" s="263"/>
      <c r="I6" s="178"/>
      <c r="J6" s="177"/>
    </row>
    <row r="7" spans="2:10" ht="18.75" customHeight="1">
      <c r="B7" s="9" t="s">
        <v>65</v>
      </c>
      <c r="C7" s="262" t="s">
        <v>274</v>
      </c>
      <c r="D7" s="262"/>
      <c r="E7" s="262"/>
      <c r="F7" s="262"/>
      <c r="G7" s="262"/>
      <c r="H7" s="262"/>
      <c r="I7" s="179"/>
      <c r="J7" s="179"/>
    </row>
    <row r="8" spans="2:10" ht="18.75" customHeight="1" thickBot="1"/>
    <row r="9" spans="2:10" ht="18.75" customHeight="1" thickBot="1">
      <c r="C9" s="228" t="s">
        <v>27</v>
      </c>
      <c r="D9" s="228"/>
      <c r="E9" s="228"/>
      <c r="F9" s="228"/>
      <c r="G9" s="228"/>
      <c r="H9" s="228"/>
      <c r="I9" s="14">
        <f>IF(C6='DB（削除禁止）'!BM4,'DB（削除禁止）'!BN12,IF(C6='DB（削除禁止）'!BM5,'DB（削除禁止）'!BN12,""))</f>
        <v>2300</v>
      </c>
    </row>
    <row r="10" spans="2:10" ht="18.75" customHeight="1" thickBot="1"/>
    <row r="11" spans="2:10" ht="18.75" customHeight="1" thickBot="1">
      <c r="C11" s="228" t="s">
        <v>408</v>
      </c>
      <c r="D11" s="228"/>
      <c r="E11" s="228"/>
      <c r="F11" s="228"/>
      <c r="G11" s="228"/>
      <c r="H11" s="228"/>
      <c r="I11" s="142"/>
    </row>
    <row r="12" spans="2:10" ht="18.75" customHeight="1" thickBot="1"/>
    <row r="13" spans="2:10" ht="18.75" customHeight="1" thickBot="1">
      <c r="C13" s="228" t="s">
        <v>40</v>
      </c>
      <c r="D13" s="228"/>
      <c r="E13" s="228"/>
      <c r="F13" s="228"/>
      <c r="G13" s="228"/>
      <c r="H13" s="228"/>
      <c r="I13" s="143" t="str">
        <f>IF(OR(I9="",I11=""),"",MIN(I9,I11))</f>
        <v/>
      </c>
    </row>
    <row r="14" spans="2:10" ht="18.75" customHeight="1" thickBot="1">
      <c r="I14" s="178"/>
    </row>
    <row r="15" spans="2:10" ht="18.75" customHeight="1" thickBot="1">
      <c r="C15" s="228" t="s">
        <v>41</v>
      </c>
      <c r="D15" s="228"/>
      <c r="E15" s="228"/>
      <c r="F15" s="228"/>
      <c r="G15" s="228"/>
      <c r="H15" s="228"/>
      <c r="I15" s="8"/>
    </row>
    <row r="16" spans="2:10" ht="18.75" customHeight="1" thickBot="1"/>
    <row r="17" spans="1:10" ht="18.75" customHeight="1" thickBot="1">
      <c r="C17" s="240" t="s">
        <v>102</v>
      </c>
      <c r="D17" s="240"/>
      <c r="E17" s="240"/>
      <c r="F17" s="240"/>
      <c r="G17" s="240"/>
      <c r="H17" s="180" t="s">
        <v>42</v>
      </c>
      <c r="I17" s="106" t="e">
        <f>ROUND(I13*I15,2)</f>
        <v>#VALUE!</v>
      </c>
    </row>
    <row r="18" spans="1:10" ht="18.75" customHeight="1" thickBot="1"/>
    <row r="19" spans="1:10" ht="18.75" customHeight="1" thickBot="1">
      <c r="C19" s="240" t="s">
        <v>133</v>
      </c>
      <c r="D19" s="240"/>
      <c r="E19" s="240"/>
      <c r="F19" s="240"/>
      <c r="G19" s="240"/>
      <c r="H19" s="241"/>
      <c r="I19" s="14">
        <f>IF(C7="","",IF(C6='DB（削除禁止）'!BM4,VLOOKUP(C7,'DB（削除禁止）'!$BM:$BO,3,FALSE),IF(C6='DB（削除禁止）'!BM5,VLOOKUP(C7,'DB（削除禁止）'!$BS:$BU,3,FALSE),"")))</f>
        <v>209400</v>
      </c>
    </row>
    <row r="20" spans="1:10" ht="18.75" customHeight="1" thickBot="1"/>
    <row r="21" spans="1:10" ht="18.75" customHeight="1" thickBot="1">
      <c r="C21" s="240" t="s">
        <v>166</v>
      </c>
      <c r="D21" s="240"/>
      <c r="E21" s="240"/>
      <c r="F21" s="240"/>
      <c r="G21" s="240"/>
      <c r="H21" s="241"/>
      <c r="I21" s="144"/>
    </row>
    <row r="22" spans="1:10" ht="18.75" customHeight="1" thickBot="1"/>
    <row r="23" spans="1:10" ht="18.75" customHeight="1" thickBot="1">
      <c r="C23" s="240" t="s">
        <v>100</v>
      </c>
      <c r="D23" s="240"/>
      <c r="E23" s="240"/>
      <c r="F23" s="240"/>
      <c r="G23" s="240"/>
      <c r="H23" s="180" t="s">
        <v>43</v>
      </c>
      <c r="I23" s="106" t="str">
        <f>IF(I21="","",MIN(I19,I21))</f>
        <v/>
      </c>
    </row>
    <row r="24" spans="1:10" ht="18.75" customHeight="1" thickBot="1"/>
    <row r="25" spans="1:10" ht="18.75" customHeight="1" thickBot="1">
      <c r="C25" s="240" t="s">
        <v>107</v>
      </c>
      <c r="D25" s="240"/>
      <c r="E25" s="240"/>
      <c r="F25" s="240"/>
      <c r="G25" s="240"/>
      <c r="H25" s="180" t="s">
        <v>33</v>
      </c>
      <c r="I25" s="145" t="e">
        <f>ROUND(I17*I23,0)</f>
        <v>#VALUE!</v>
      </c>
    </row>
    <row r="26" spans="1:10" ht="18.75" customHeight="1">
      <c r="B26" s="229"/>
      <c r="C26" s="229"/>
      <c r="D26" s="229"/>
      <c r="E26" s="229"/>
      <c r="F26" s="229"/>
    </row>
    <row r="27" spans="1:10" ht="18.75" customHeight="1">
      <c r="B27" s="175"/>
      <c r="C27" s="175"/>
      <c r="D27" s="175"/>
      <c r="E27" s="175"/>
      <c r="F27" s="175"/>
    </row>
    <row r="28" spans="1:10" ht="18.75" customHeight="1">
      <c r="B28" s="238" t="s">
        <v>137</v>
      </c>
      <c r="C28" s="238"/>
      <c r="D28" s="238"/>
      <c r="E28" s="238"/>
      <c r="F28" s="238"/>
      <c r="G28" s="238"/>
      <c r="H28" s="238"/>
      <c r="I28" s="238"/>
      <c r="J28" s="176"/>
    </row>
    <row r="29" spans="1:10" ht="18.75" customHeight="1">
      <c r="A29" s="178" t="s">
        <v>34</v>
      </c>
      <c r="B29" s="238" t="s">
        <v>138</v>
      </c>
      <c r="C29" s="238"/>
      <c r="D29" s="238"/>
      <c r="E29" s="238"/>
      <c r="F29" s="238"/>
      <c r="G29" s="238"/>
      <c r="H29" s="238"/>
      <c r="I29" s="238"/>
      <c r="J29" s="176"/>
    </row>
    <row r="30" spans="1:10" ht="18.75" customHeight="1">
      <c r="B30" s="176"/>
      <c r="C30" s="176"/>
      <c r="D30" s="176"/>
      <c r="E30" s="176"/>
      <c r="F30" s="176"/>
      <c r="G30" s="176"/>
      <c r="H30" s="176"/>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B29:I29"/>
    <mergeCell ref="C9:H9"/>
    <mergeCell ref="C11:H11"/>
    <mergeCell ref="C13:H13"/>
    <mergeCell ref="C15:H15"/>
    <mergeCell ref="C17:G17"/>
    <mergeCell ref="C19:H19"/>
    <mergeCell ref="C21:H21"/>
    <mergeCell ref="C23:G23"/>
    <mergeCell ref="C25:G25"/>
    <mergeCell ref="B26:F26"/>
    <mergeCell ref="B28:I28"/>
    <mergeCell ref="C7:H7"/>
    <mergeCell ref="G1:I1"/>
    <mergeCell ref="B2:I2"/>
    <mergeCell ref="C4:D4"/>
    <mergeCell ref="C5:E5"/>
    <mergeCell ref="C6:F6"/>
  </mergeCells>
  <phoneticPr fontId="1"/>
  <conditionalFormatting sqref="I11">
    <cfRule type="expression" dxfId="109" priority="9">
      <formula>IF(RIGHT(TEXT($I11,"0.#"),1)=".",FALSE,TRUE)</formula>
    </cfRule>
    <cfRule type="expression" dxfId="108" priority="10">
      <formula>IF(RIGHT(TEXT($I11,"0.#"),1)=".",TRUE,FALSE)</formula>
    </cfRule>
  </conditionalFormatting>
  <conditionalFormatting sqref="I13">
    <cfRule type="expression" dxfId="107" priority="7">
      <formula>IF(RIGHT(TEXT($I13,"0.#"),1)=".",FALSE,TRUE)</formula>
    </cfRule>
    <cfRule type="expression" dxfId="106" priority="8">
      <formula>IF(RIGHT(TEXT($I13,"0.#"),1)=".",TRUE,FALSE)</formula>
    </cfRule>
  </conditionalFormatting>
  <conditionalFormatting sqref="I21">
    <cfRule type="expression" dxfId="105" priority="5">
      <formula>IF(RIGHT(TEXT($I21,"0.#"),1)=".",FALSE,TRUE)</formula>
    </cfRule>
    <cfRule type="expression" dxfId="104" priority="6">
      <formula>IF(RIGHT(TEXT($I23,"0.#"),1)=".",TRUE,FALSE)</formula>
    </cfRule>
  </conditionalFormatting>
  <conditionalFormatting sqref="I23">
    <cfRule type="expression" dxfId="103" priority="3">
      <formula>IF(RIGHT(TEXT($I23,"0.#"),1)=".",FALSE,TRUE)</formula>
    </cfRule>
    <cfRule type="expression" dxfId="102" priority="4">
      <formula>IF(RIGHT(TEXT($I23,"0.#"),1)=".",TRUE,FALSE)</formula>
    </cfRule>
  </conditionalFormatting>
  <conditionalFormatting sqref="I17">
    <cfRule type="expression" dxfId="101" priority="1">
      <formula>IF(RIGHT(TEXT($I17,"0.#"),1)=".",FALSE,TRUE)</formula>
    </cfRule>
    <cfRule type="expression" dxfId="100" priority="2">
      <formula>IF(RIGHT(TEXT($I17,"0.#"),1)=".",TRUE,FALSE)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'DB（削除禁止）'!$BM$12:$BM$13</xm:f>
          </x14:formula1>
          <xm:sqref>C7:H7</xm:sqref>
        </x14:dataValidation>
        <x14:dataValidation type="list" allowBlank="1" showInputMessage="1" showErrorMessage="1">
          <x14:formula1>
            <xm:f>'DB（削除禁止）'!$BM$4:$BM$5</xm:f>
          </x14:formula1>
          <xm:sqref>C6:F6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61"/>
  <sheetViews>
    <sheetView view="pageBreakPreview" topLeftCell="B1" zoomScale="85" zoomScaleNormal="85" zoomScaleSheetLayoutView="85" workbookViewId="0">
      <selection activeCell="I6" sqref="I6"/>
    </sheetView>
  </sheetViews>
  <sheetFormatPr defaultColWidth="9" defaultRowHeight="13"/>
  <cols>
    <col min="1" max="1" width="1.26953125" style="100" customWidth="1"/>
    <col min="2" max="2" width="13.90625" style="100" bestFit="1" customWidth="1"/>
    <col min="3" max="3" width="14" style="100" customWidth="1"/>
    <col min="4" max="8" width="9" style="100" customWidth="1"/>
    <col min="9" max="9" width="15" style="6" customWidth="1"/>
    <col min="10" max="16384" width="9" style="100"/>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98"/>
      <c r="C3" s="98"/>
      <c r="D3" s="98"/>
      <c r="E3" s="98"/>
      <c r="F3" s="98"/>
      <c r="G3" s="98"/>
      <c r="H3" s="98"/>
      <c r="I3" s="4"/>
    </row>
    <row r="4" spans="2:9" ht="18.75" customHeight="1">
      <c r="B4" s="9" t="s">
        <v>32</v>
      </c>
      <c r="C4" s="237"/>
      <c r="D4" s="237"/>
      <c r="E4" s="10"/>
      <c r="F4" s="10"/>
      <c r="G4" s="10"/>
      <c r="H4" s="10"/>
      <c r="I4" s="10"/>
    </row>
    <row r="5" spans="2:9" ht="18.75" customHeight="1">
      <c r="B5" s="9" t="s">
        <v>30</v>
      </c>
      <c r="C5" s="236"/>
      <c r="D5" s="236"/>
      <c r="E5" s="236"/>
      <c r="F5" s="99"/>
      <c r="G5" s="99"/>
      <c r="H5" s="99"/>
      <c r="I5" s="99"/>
    </row>
    <row r="6" spans="2:9" ht="18.75" customHeight="1">
      <c r="B6" s="9" t="s">
        <v>29</v>
      </c>
      <c r="C6" s="263" t="s">
        <v>409</v>
      </c>
      <c r="D6" s="263"/>
      <c r="E6" s="263"/>
      <c r="F6" s="263"/>
      <c r="G6" s="111"/>
      <c r="H6" s="111"/>
      <c r="I6" s="111"/>
    </row>
    <row r="7" spans="2:9" ht="18.75" customHeight="1">
      <c r="B7" s="9" t="s">
        <v>65</v>
      </c>
      <c r="C7" s="28"/>
      <c r="D7" s="99"/>
      <c r="E7" s="99"/>
      <c r="F7" s="99"/>
      <c r="G7" s="101"/>
      <c r="H7" s="101"/>
      <c r="I7" s="101"/>
    </row>
    <row r="8" spans="2:9" ht="18.75" customHeight="1" thickBot="1"/>
    <row r="9" spans="2:9" ht="18.75" customHeight="1" thickBot="1">
      <c r="C9" s="240" t="s">
        <v>35</v>
      </c>
      <c r="D9" s="240"/>
      <c r="E9" s="240"/>
      <c r="F9" s="240"/>
      <c r="G9" s="240"/>
      <c r="H9" s="146" t="s">
        <v>43</v>
      </c>
      <c r="I9" s="14" t="str">
        <f>IF(OR(C6="",C7=""),"",VLOOKUP(C7,'DB（削除禁止）'!BM17:BN23,2,FALSE))</f>
        <v/>
      </c>
    </row>
    <row r="10" spans="2:9" ht="18.75" customHeight="1" thickBot="1"/>
    <row r="11" spans="2:9" ht="18.75" customHeight="1" thickBot="1">
      <c r="C11" s="228" t="s">
        <v>36</v>
      </c>
      <c r="D11" s="228"/>
      <c r="E11" s="228"/>
      <c r="F11" s="228"/>
      <c r="G11" s="228"/>
      <c r="H11" s="228"/>
      <c r="I11" s="7"/>
    </row>
    <row r="12" spans="2:9" ht="18.75" customHeight="1" thickBot="1"/>
    <row r="13" spans="2:9" ht="18.75" customHeight="1" thickBot="1">
      <c r="C13" s="240" t="s">
        <v>37</v>
      </c>
      <c r="D13" s="240"/>
      <c r="E13" s="240"/>
      <c r="F13" s="240"/>
      <c r="G13" s="240"/>
      <c r="H13" s="159" t="s">
        <v>334</v>
      </c>
      <c r="I13" s="8"/>
    </row>
    <row r="14" spans="2:9" ht="18.75" customHeight="1" thickBot="1">
      <c r="I14" s="100"/>
    </row>
    <row r="15" spans="2:9" ht="18.75" customHeight="1" thickBot="1">
      <c r="C15" s="228" t="s">
        <v>104</v>
      </c>
      <c r="D15" s="228"/>
      <c r="E15" s="228"/>
      <c r="F15" s="228"/>
      <c r="G15" s="228"/>
      <c r="H15" s="146" t="s">
        <v>33</v>
      </c>
      <c r="I15" s="143" t="e">
        <f>ROUND(I9*I11*I13,0)</f>
        <v>#VALUE!</v>
      </c>
    </row>
    <row r="16" spans="2:9" ht="18.75" customHeight="1">
      <c r="H16" s="102"/>
    </row>
    <row r="17" spans="1:9" ht="18.75" customHeight="1"/>
    <row r="18" spans="1:9" ht="18.75" customHeight="1">
      <c r="B18" s="229" t="s">
        <v>44</v>
      </c>
      <c r="C18" s="229"/>
      <c r="D18" s="229"/>
      <c r="E18" s="229"/>
      <c r="F18" s="229"/>
      <c r="G18" s="229"/>
      <c r="H18" s="229"/>
      <c r="I18" s="229"/>
    </row>
    <row r="19" spans="1:9" ht="18.75" customHeight="1">
      <c r="A19" s="100" t="s">
        <v>34</v>
      </c>
      <c r="B19" s="229" t="s">
        <v>39</v>
      </c>
      <c r="C19" s="229"/>
      <c r="D19" s="229"/>
      <c r="E19" s="229"/>
      <c r="F19" s="229"/>
      <c r="G19" s="229"/>
      <c r="H19" s="229"/>
      <c r="I19" s="229"/>
    </row>
    <row r="20" spans="1:9" ht="18.75" customHeight="1">
      <c r="B20" s="98"/>
      <c r="C20" s="98"/>
      <c r="D20" s="98"/>
      <c r="E20" s="98"/>
      <c r="F20" s="98"/>
      <c r="G20" s="98"/>
      <c r="H20" s="98"/>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1">
    <mergeCell ref="C11:H11"/>
    <mergeCell ref="C15:G15"/>
    <mergeCell ref="B18:I18"/>
    <mergeCell ref="B19:I19"/>
    <mergeCell ref="C13:G13"/>
    <mergeCell ref="C9:G9"/>
    <mergeCell ref="C6:F6"/>
    <mergeCell ref="G1:I1"/>
    <mergeCell ref="B2:I2"/>
    <mergeCell ref="C4:D4"/>
    <mergeCell ref="C5:E5"/>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'DB（削除禁止）'!$BM$17:$BM$23</xm:f>
          </x14:formula1>
          <xm:sqref>C7</xm:sqref>
        </x14:dataValidation>
        <x14:dataValidation type="list" allowBlank="1" showInputMessage="1" showErrorMessage="1">
          <x14:formula1>
            <xm:f>'DB（削除禁止）'!$BM$4:$BM$5</xm:f>
          </x14:formula1>
          <xm:sqref>C6:F6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view="pageBreakPreview" topLeftCell="A4" zoomScaleNormal="100" zoomScaleSheetLayoutView="100" workbookViewId="0">
      <selection activeCell="K14" sqref="K14"/>
    </sheetView>
  </sheetViews>
  <sheetFormatPr defaultColWidth="9" defaultRowHeight="13"/>
  <cols>
    <col min="1" max="1" width="1.26953125" style="200" customWidth="1"/>
    <col min="2" max="2" width="13.90625" style="200" bestFit="1" customWidth="1"/>
    <col min="3" max="3" width="14" style="200" customWidth="1"/>
    <col min="4" max="5" width="9" style="200"/>
    <col min="6" max="8" width="9" style="200" customWidth="1"/>
    <col min="9" max="9" width="15" style="6" customWidth="1"/>
    <col min="10" max="16384" width="9" style="200"/>
  </cols>
  <sheetData>
    <row r="1" spans="2:10" ht="18.75" customHeight="1">
      <c r="G1" s="233" t="s">
        <v>38</v>
      </c>
      <c r="H1" s="233"/>
      <c r="I1" s="233"/>
    </row>
    <row r="2" spans="2:10" ht="40.5" customHeight="1">
      <c r="B2" s="234" t="s">
        <v>327</v>
      </c>
      <c r="C2" s="234"/>
      <c r="D2" s="234"/>
      <c r="E2" s="234"/>
      <c r="F2" s="234"/>
      <c r="G2" s="234"/>
      <c r="H2" s="234"/>
      <c r="I2" s="234"/>
    </row>
    <row r="3" spans="2:10" ht="18.75" customHeight="1">
      <c r="B3" s="198"/>
      <c r="C3" s="198"/>
      <c r="D3" s="198"/>
      <c r="E3" s="198"/>
      <c r="F3" s="198"/>
      <c r="G3" s="198"/>
      <c r="H3" s="198"/>
      <c r="I3" s="4"/>
    </row>
    <row r="4" spans="2:10" ht="18.75" customHeight="1">
      <c r="B4" s="9" t="s">
        <v>32</v>
      </c>
      <c r="C4" s="237"/>
      <c r="D4" s="237"/>
      <c r="E4" s="10"/>
      <c r="F4" s="10"/>
      <c r="G4" s="10"/>
      <c r="H4" s="10"/>
      <c r="I4" s="10"/>
    </row>
    <row r="5" spans="2:10" ht="18.75" customHeight="1">
      <c r="B5" s="9" t="s">
        <v>30</v>
      </c>
      <c r="C5" s="236"/>
      <c r="D5" s="236"/>
      <c r="E5" s="236"/>
      <c r="F5" s="199"/>
      <c r="G5" s="199"/>
      <c r="H5" s="199"/>
      <c r="I5" s="199"/>
    </row>
    <row r="6" spans="2:10" ht="18.75" customHeight="1">
      <c r="B6" s="9" t="s">
        <v>29</v>
      </c>
      <c r="C6" s="263" t="s">
        <v>403</v>
      </c>
      <c r="D6" s="263"/>
      <c r="E6" s="263"/>
      <c r="F6" s="263"/>
      <c r="I6" s="200"/>
      <c r="J6" s="199"/>
    </row>
    <row r="7" spans="2:10" ht="18.75" customHeight="1">
      <c r="B7" s="9" t="s">
        <v>65</v>
      </c>
      <c r="C7" s="262"/>
      <c r="D7" s="262"/>
      <c r="E7" s="262"/>
      <c r="F7" s="262"/>
      <c r="G7" s="262"/>
      <c r="H7" s="262"/>
      <c r="I7" s="201"/>
      <c r="J7" s="201"/>
    </row>
    <row r="8" spans="2:10" ht="18.75" customHeight="1" thickBot="1"/>
    <row r="9" spans="2:10" ht="18.75" customHeight="1" thickBot="1">
      <c r="C9" s="228" t="s">
        <v>27</v>
      </c>
      <c r="D9" s="228"/>
      <c r="E9" s="228"/>
      <c r="F9" s="228"/>
      <c r="G9" s="228"/>
      <c r="H9" s="228"/>
      <c r="I9" s="14">
        <f>IF(C6='DB（削除禁止）'!BY3,'DB（削除禁止）'!BZ8,"")</f>
        <v>2300</v>
      </c>
    </row>
    <row r="10" spans="2:10" ht="18.75" customHeight="1" thickBot="1"/>
    <row r="11" spans="2:10" ht="18.75" customHeight="1" thickBot="1">
      <c r="C11" s="228" t="s">
        <v>408</v>
      </c>
      <c r="D11" s="228"/>
      <c r="E11" s="228"/>
      <c r="F11" s="228"/>
      <c r="G11" s="228"/>
      <c r="H11" s="228"/>
      <c r="I11" s="142"/>
    </row>
    <row r="12" spans="2:10" ht="18.75" customHeight="1" thickBot="1"/>
    <row r="13" spans="2:10" ht="18.75" customHeight="1" thickBot="1">
      <c r="C13" s="228" t="s">
        <v>40</v>
      </c>
      <c r="D13" s="228"/>
      <c r="E13" s="228"/>
      <c r="F13" s="228"/>
      <c r="G13" s="228"/>
      <c r="H13" s="228"/>
      <c r="I13" s="143" t="str">
        <f>IF(OR(I9="",I11=""),"",MIN(I9,I11))</f>
        <v/>
      </c>
    </row>
    <row r="14" spans="2:10" ht="18.75" customHeight="1" thickBot="1">
      <c r="I14" s="200"/>
    </row>
    <row r="15" spans="2:10" ht="18.75" customHeight="1" thickBot="1">
      <c r="C15" s="228" t="s">
        <v>41</v>
      </c>
      <c r="D15" s="228"/>
      <c r="E15" s="228"/>
      <c r="F15" s="228"/>
      <c r="G15" s="228"/>
      <c r="H15" s="228"/>
      <c r="I15" s="8"/>
    </row>
    <row r="16" spans="2:10" ht="18.75" customHeight="1" thickBot="1"/>
    <row r="17" spans="1:10" ht="18.75" customHeight="1" thickBot="1">
      <c r="C17" s="240" t="s">
        <v>102</v>
      </c>
      <c r="D17" s="240"/>
      <c r="E17" s="240"/>
      <c r="F17" s="240"/>
      <c r="G17" s="240"/>
      <c r="H17" s="202" t="s">
        <v>42</v>
      </c>
      <c r="I17" s="106" t="e">
        <f>ROUND(I13*I15,2)</f>
        <v>#VALUE!</v>
      </c>
    </row>
    <row r="18" spans="1:10" ht="18.75" customHeight="1" thickBot="1"/>
    <row r="19" spans="1:10" ht="18.75" customHeight="1" thickBot="1">
      <c r="C19" s="240" t="s">
        <v>133</v>
      </c>
      <c r="D19" s="240"/>
      <c r="E19" s="240"/>
      <c r="F19" s="240"/>
      <c r="G19" s="240"/>
      <c r="H19" s="241"/>
      <c r="I19" s="14" t="str">
        <f>IF(C7="","",IF(C6='DB（削除禁止）'!BY3,VLOOKUP(C7,'DB（削除禁止）'!BY:CA,3,FALSE),""))</f>
        <v/>
      </c>
    </row>
    <row r="20" spans="1:10" ht="18.75" customHeight="1" thickBot="1"/>
    <row r="21" spans="1:10" ht="18.75" customHeight="1" thickBot="1">
      <c r="C21" s="240" t="s">
        <v>166</v>
      </c>
      <c r="D21" s="240"/>
      <c r="E21" s="240"/>
      <c r="F21" s="240"/>
      <c r="G21" s="240"/>
      <c r="H21" s="241"/>
      <c r="I21" s="144"/>
    </row>
    <row r="22" spans="1:10" ht="18.75" customHeight="1" thickBot="1"/>
    <row r="23" spans="1:10" ht="18.75" customHeight="1" thickBot="1">
      <c r="C23" s="240" t="s">
        <v>100</v>
      </c>
      <c r="D23" s="240"/>
      <c r="E23" s="240"/>
      <c r="F23" s="240"/>
      <c r="G23" s="240"/>
      <c r="H23" s="202" t="s">
        <v>43</v>
      </c>
      <c r="I23" s="106" t="str">
        <f>IF(I21="","",MIN(I19,I21))</f>
        <v/>
      </c>
    </row>
    <row r="24" spans="1:10" ht="18.75" customHeight="1" thickBot="1"/>
    <row r="25" spans="1:10" ht="18.75" customHeight="1" thickBot="1">
      <c r="C25" s="240" t="s">
        <v>107</v>
      </c>
      <c r="D25" s="240"/>
      <c r="E25" s="240"/>
      <c r="F25" s="240"/>
      <c r="G25" s="240"/>
      <c r="H25" s="202" t="s">
        <v>33</v>
      </c>
      <c r="I25" s="145" t="e">
        <f>ROUND(I17*I23,0)</f>
        <v>#VALUE!</v>
      </c>
    </row>
    <row r="26" spans="1:10" ht="18.75" customHeight="1">
      <c r="B26" s="229"/>
      <c r="C26" s="229"/>
      <c r="D26" s="229"/>
      <c r="E26" s="229"/>
      <c r="F26" s="229"/>
    </row>
    <row r="27" spans="1:10" ht="18.75" customHeight="1">
      <c r="B27" s="197"/>
      <c r="C27" s="197"/>
      <c r="D27" s="197"/>
      <c r="E27" s="197"/>
      <c r="F27" s="197"/>
    </row>
    <row r="28" spans="1:10" ht="18.75" customHeight="1">
      <c r="B28" s="238" t="s">
        <v>137</v>
      </c>
      <c r="C28" s="238"/>
      <c r="D28" s="238"/>
      <c r="E28" s="238"/>
      <c r="F28" s="238"/>
      <c r="G28" s="238"/>
      <c r="H28" s="238"/>
      <c r="I28" s="238"/>
      <c r="J28" s="198"/>
    </row>
    <row r="29" spans="1:10" ht="18.75" customHeight="1">
      <c r="A29" s="200" t="s">
        <v>34</v>
      </c>
      <c r="B29" s="238" t="s">
        <v>138</v>
      </c>
      <c r="C29" s="238"/>
      <c r="D29" s="238"/>
      <c r="E29" s="238"/>
      <c r="F29" s="238"/>
      <c r="G29" s="238"/>
      <c r="H29" s="238"/>
      <c r="I29" s="238"/>
      <c r="J29" s="198"/>
    </row>
    <row r="30" spans="1:10" ht="18.75" customHeight="1">
      <c r="B30" s="198"/>
      <c r="C30" s="198"/>
      <c r="D30" s="198"/>
      <c r="E30" s="198"/>
      <c r="F30" s="198"/>
      <c r="G30" s="198"/>
      <c r="H30" s="198"/>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B29:I29"/>
    <mergeCell ref="C9:H9"/>
    <mergeCell ref="C11:H11"/>
    <mergeCell ref="C13:H13"/>
    <mergeCell ref="C15:H15"/>
    <mergeCell ref="C17:G17"/>
    <mergeCell ref="C19:H19"/>
    <mergeCell ref="C21:H21"/>
    <mergeCell ref="C23:G23"/>
    <mergeCell ref="C25:G25"/>
    <mergeCell ref="B26:F26"/>
    <mergeCell ref="B28:I28"/>
    <mergeCell ref="C7:H7"/>
    <mergeCell ref="G1:I1"/>
    <mergeCell ref="B2:I2"/>
    <mergeCell ref="C4:D4"/>
    <mergeCell ref="C5:E5"/>
    <mergeCell ref="C6:F6"/>
  </mergeCells>
  <phoneticPr fontId="1"/>
  <conditionalFormatting sqref="I11">
    <cfRule type="expression" dxfId="99" priority="9">
      <formula>IF(RIGHT(TEXT($I11,"0.#"),1)=".",FALSE,TRUE)</formula>
    </cfRule>
    <cfRule type="expression" dxfId="98" priority="10">
      <formula>IF(RIGHT(TEXT($I11,"0.#"),1)=".",TRUE,FALSE)</formula>
    </cfRule>
  </conditionalFormatting>
  <conditionalFormatting sqref="I13">
    <cfRule type="expression" dxfId="97" priority="7">
      <formula>IF(RIGHT(TEXT($I13,"0.#"),1)=".",FALSE,TRUE)</formula>
    </cfRule>
    <cfRule type="expression" dxfId="96" priority="8">
      <formula>IF(RIGHT(TEXT($I13,"0.#"),1)=".",TRUE,FALSE)</formula>
    </cfRule>
  </conditionalFormatting>
  <conditionalFormatting sqref="I21">
    <cfRule type="expression" dxfId="95" priority="5">
      <formula>IF(RIGHT(TEXT($I21,"0.#"),1)=".",FALSE,TRUE)</formula>
    </cfRule>
    <cfRule type="expression" dxfId="94" priority="6">
      <formula>IF(RIGHT(TEXT($I23,"0.#"),1)=".",TRUE,FALSE)</formula>
    </cfRule>
  </conditionalFormatting>
  <conditionalFormatting sqref="I23">
    <cfRule type="expression" dxfId="93" priority="3">
      <formula>IF(RIGHT(TEXT($I23,"0.#"),1)=".",FALSE,TRUE)</formula>
    </cfRule>
    <cfRule type="expression" dxfId="92" priority="4">
      <formula>IF(RIGHT(TEXT($I23,"0.#"),1)=".",TRUE,FALSE)</formula>
    </cfRule>
  </conditionalFormatting>
  <conditionalFormatting sqref="I17">
    <cfRule type="expression" dxfId="91" priority="1">
      <formula>IF(RIGHT(TEXT($I17,"0.#"),1)=".",FALSE,TRUE)</formula>
    </cfRule>
    <cfRule type="expression" dxfId="90" priority="2">
      <formula>IF(RIGHT(TEXT($I17,"0.#"),1)=".",TRUE,FALSE)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'DB（削除禁止）'!$BY$3</xm:f>
          </x14:formula1>
          <xm:sqref>C6:F6</xm:sqref>
        </x14:dataValidation>
        <x14:dataValidation type="list" allowBlank="1" showInputMessage="1" showErrorMessage="1">
          <x14:formula1>
            <xm:f>'DB（削除禁止）'!$BM$12:$BM$13</xm:f>
          </x14:formula1>
          <xm:sqref>C7:H7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topLeftCell="B1" zoomScale="85" zoomScaleNormal="85" zoomScaleSheetLayoutView="85" workbookViewId="0">
      <selection activeCell="I10" sqref="I10"/>
    </sheetView>
  </sheetViews>
  <sheetFormatPr defaultColWidth="9" defaultRowHeight="13"/>
  <cols>
    <col min="1" max="1" width="1.26953125" style="200" customWidth="1"/>
    <col min="2" max="2" width="13.90625" style="200" bestFit="1" customWidth="1"/>
    <col min="3" max="3" width="14" style="200" customWidth="1"/>
    <col min="4" max="8" width="9" style="200" customWidth="1"/>
    <col min="9" max="9" width="15" style="6" customWidth="1"/>
    <col min="10" max="16384" width="9" style="200"/>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198"/>
      <c r="C3" s="198"/>
      <c r="D3" s="198"/>
      <c r="E3" s="198"/>
      <c r="F3" s="198"/>
      <c r="G3" s="198"/>
      <c r="H3" s="198"/>
      <c r="I3" s="4"/>
    </row>
    <row r="4" spans="2:9" ht="18.75" customHeight="1">
      <c r="B4" s="9" t="s">
        <v>32</v>
      </c>
      <c r="C4" s="237"/>
      <c r="D4" s="237"/>
      <c r="E4" s="10"/>
      <c r="F4" s="10"/>
      <c r="G4" s="10"/>
      <c r="H4" s="10"/>
      <c r="I4" s="10"/>
    </row>
    <row r="5" spans="2:9" ht="18.75" customHeight="1">
      <c r="B5" s="9" t="s">
        <v>30</v>
      </c>
      <c r="C5" s="236"/>
      <c r="D5" s="236"/>
      <c r="E5" s="236"/>
      <c r="F5" s="199"/>
      <c r="G5" s="199"/>
      <c r="H5" s="199"/>
      <c r="I5" s="199"/>
    </row>
    <row r="6" spans="2:9" ht="18.75" customHeight="1">
      <c r="B6" s="9" t="s">
        <v>29</v>
      </c>
      <c r="C6" s="263" t="s">
        <v>403</v>
      </c>
      <c r="D6" s="263"/>
      <c r="E6" s="263"/>
      <c r="F6" s="263"/>
      <c r="G6" s="199"/>
      <c r="H6" s="199"/>
      <c r="I6" s="199"/>
    </row>
    <row r="7" spans="2:9" ht="18.75" customHeight="1">
      <c r="B7" s="9" t="s">
        <v>65</v>
      </c>
      <c r="C7" s="204"/>
      <c r="D7" s="204"/>
      <c r="E7" s="204"/>
      <c r="F7" s="204"/>
      <c r="G7" s="210"/>
      <c r="H7" s="201"/>
      <c r="I7" s="201"/>
    </row>
    <row r="8" spans="2:9" ht="18.75" customHeight="1" thickBot="1"/>
    <row r="9" spans="2:9" ht="18.75" customHeight="1" thickBot="1">
      <c r="C9" s="240" t="s">
        <v>35</v>
      </c>
      <c r="D9" s="240"/>
      <c r="E9" s="240"/>
      <c r="F9" s="240"/>
      <c r="G9" s="240"/>
      <c r="H9" s="202" t="s">
        <v>43</v>
      </c>
      <c r="I9" s="7" t="str">
        <f>IF(OR(C6="",C7=""),"",IF(C6='DB（削除禁止）'!BY3,VLOOKUP(C7,'DB（削除禁止）'!$BY$12:$BZ$15,2,FALSE)))</f>
        <v/>
      </c>
    </row>
    <row r="10" spans="2:9" ht="18.75" customHeight="1" thickBot="1"/>
    <row r="11" spans="2:9" ht="18.75" customHeight="1" thickBot="1">
      <c r="C11" s="228" t="s">
        <v>36</v>
      </c>
      <c r="D11" s="228"/>
      <c r="E11" s="228"/>
      <c r="F11" s="228"/>
      <c r="G11" s="228"/>
      <c r="H11" s="228"/>
      <c r="I11" s="7"/>
    </row>
    <row r="12" spans="2:9" ht="18.75" customHeight="1" thickBot="1"/>
    <row r="13" spans="2:9" ht="18.75" customHeight="1" thickBot="1">
      <c r="C13" s="240" t="s">
        <v>37</v>
      </c>
      <c r="D13" s="240"/>
      <c r="E13" s="240"/>
      <c r="F13" s="240"/>
      <c r="G13" s="240"/>
      <c r="H13" s="202" t="s">
        <v>42</v>
      </c>
      <c r="I13" s="8"/>
    </row>
    <row r="14" spans="2:9" ht="18.75" customHeight="1" thickBot="1">
      <c r="I14" s="200"/>
    </row>
    <row r="15" spans="2:9" ht="18.75" customHeight="1" thickBot="1">
      <c r="C15" s="228" t="s">
        <v>104</v>
      </c>
      <c r="D15" s="228"/>
      <c r="E15" s="228"/>
      <c r="F15" s="228"/>
      <c r="G15" s="228"/>
      <c r="H15" s="202" t="s">
        <v>33</v>
      </c>
      <c r="I15" s="143" t="e">
        <f>ROUND(I9*I11*I13,0)</f>
        <v>#VALUE!</v>
      </c>
    </row>
    <row r="16" spans="2:9" ht="18.75" customHeight="1">
      <c r="H16" s="203"/>
    </row>
    <row r="17" spans="1:9" ht="18.75" customHeight="1"/>
    <row r="18" spans="1:9" ht="18.75" customHeight="1">
      <c r="B18" s="229" t="s">
        <v>44</v>
      </c>
      <c r="C18" s="229"/>
      <c r="D18" s="229"/>
      <c r="E18" s="229"/>
      <c r="F18" s="229"/>
      <c r="G18" s="229"/>
      <c r="H18" s="229"/>
      <c r="I18" s="229"/>
    </row>
    <row r="19" spans="1:9" ht="18.75" customHeight="1">
      <c r="A19" s="200" t="s">
        <v>34</v>
      </c>
      <c r="B19" s="229" t="s">
        <v>39</v>
      </c>
      <c r="C19" s="229"/>
      <c r="D19" s="229"/>
      <c r="E19" s="229"/>
      <c r="F19" s="229"/>
      <c r="G19" s="229"/>
      <c r="H19" s="229"/>
      <c r="I19" s="229"/>
    </row>
    <row r="20" spans="1:9" ht="18.75" customHeight="1">
      <c r="B20" s="198"/>
      <c r="C20" s="198"/>
      <c r="D20" s="198"/>
      <c r="E20" s="198"/>
      <c r="F20" s="198"/>
      <c r="G20" s="198"/>
      <c r="H20" s="198"/>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c r="B28" s="200" t="s">
        <v>137</v>
      </c>
    </row>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1">
    <mergeCell ref="C11:H11"/>
    <mergeCell ref="C13:G13"/>
    <mergeCell ref="C15:G15"/>
    <mergeCell ref="B18:I18"/>
    <mergeCell ref="B19:I19"/>
    <mergeCell ref="C9:G9"/>
    <mergeCell ref="G1:I1"/>
    <mergeCell ref="B2:I2"/>
    <mergeCell ref="C4:D4"/>
    <mergeCell ref="C5:E5"/>
    <mergeCell ref="C6:F6"/>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'DB（削除禁止）'!$BY$3</xm:f>
          </x14:formula1>
          <xm:sqref>C6:F6</xm:sqref>
        </x14:dataValidation>
        <x14:dataValidation type="list" allowBlank="1" showInputMessage="1" showErrorMessage="1">
          <x14:formula1>
            <xm:f>'DB（削除禁止）'!$BY$12:$BY$15</xm:f>
          </x14:formula1>
          <xm:sqref>C7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70"/>
  <sheetViews>
    <sheetView view="pageBreakPreview" zoomScale="85" zoomScaleNormal="85" zoomScaleSheetLayoutView="85" workbookViewId="0">
      <selection activeCell="C5" sqref="C5:E5"/>
    </sheetView>
  </sheetViews>
  <sheetFormatPr defaultColWidth="9" defaultRowHeight="13"/>
  <cols>
    <col min="1" max="1" width="1.26953125" style="114" customWidth="1"/>
    <col min="2" max="2" width="13.90625" style="114" bestFit="1" customWidth="1"/>
    <col min="3" max="3" width="14" style="114" customWidth="1"/>
    <col min="4" max="8" width="9" style="114" customWidth="1"/>
    <col min="9" max="9" width="15" style="6" customWidth="1"/>
    <col min="10" max="16384" width="9" style="114"/>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113"/>
      <c r="C3" s="113"/>
      <c r="D3" s="113"/>
      <c r="E3" s="113"/>
      <c r="F3" s="113"/>
      <c r="G3" s="113"/>
      <c r="H3" s="113"/>
      <c r="I3" s="4"/>
    </row>
    <row r="4" spans="2:9" ht="18.75" customHeight="1">
      <c r="B4" s="9" t="s">
        <v>32</v>
      </c>
      <c r="C4" s="237"/>
      <c r="D4" s="237"/>
      <c r="E4" s="10"/>
      <c r="F4" s="10"/>
      <c r="G4" s="10"/>
      <c r="H4" s="10"/>
      <c r="I4" s="10"/>
    </row>
    <row r="5" spans="2:9" ht="18.75" customHeight="1">
      <c r="B5" s="9" t="s">
        <v>30</v>
      </c>
      <c r="C5" s="236"/>
      <c r="D5" s="236"/>
      <c r="E5" s="236"/>
      <c r="F5" s="111"/>
      <c r="G5" s="111"/>
      <c r="H5" s="111"/>
      <c r="I5" s="111"/>
    </row>
    <row r="6" spans="2:9" ht="18.75" customHeight="1">
      <c r="B6" s="9" t="s">
        <v>29</v>
      </c>
      <c r="C6" s="235" t="s">
        <v>357</v>
      </c>
      <c r="D6" s="235"/>
      <c r="E6" s="235"/>
      <c r="F6" s="235"/>
      <c r="G6" s="235"/>
      <c r="H6" s="235"/>
      <c r="I6" s="235"/>
    </row>
    <row r="7" spans="2:9" ht="18.75" customHeight="1" thickBot="1"/>
    <row r="8" spans="2:9" ht="18.75" customHeight="1" thickBot="1">
      <c r="C8" s="228" t="s">
        <v>27</v>
      </c>
      <c r="D8" s="228"/>
      <c r="E8" s="228"/>
      <c r="F8" s="228"/>
      <c r="G8" s="228"/>
      <c r="H8" s="228"/>
      <c r="I8" s="14">
        <f>'DB（削除禁止）'!CK4</f>
        <v>100</v>
      </c>
    </row>
    <row r="9" spans="2:9" ht="18.75" customHeight="1" thickBot="1"/>
    <row r="10" spans="2:9" ht="18.75" customHeight="1" thickBot="1">
      <c r="C10" s="228" t="s">
        <v>28</v>
      </c>
      <c r="D10" s="228"/>
      <c r="E10" s="228"/>
      <c r="F10" s="228"/>
      <c r="G10" s="228"/>
      <c r="H10" s="228"/>
      <c r="I10" s="142"/>
    </row>
    <row r="11" spans="2:9" ht="18.75" customHeight="1" thickBot="1"/>
    <row r="12" spans="2:9" ht="18.75" customHeight="1" thickBot="1">
      <c r="C12" s="228" t="s">
        <v>40</v>
      </c>
      <c r="D12" s="228"/>
      <c r="E12" s="228"/>
      <c r="F12" s="228"/>
      <c r="G12" s="228"/>
      <c r="H12" s="228"/>
      <c r="I12" s="143" t="str">
        <f>IF(I10="","",MIN(I8,I10))</f>
        <v/>
      </c>
    </row>
    <row r="13" spans="2:9" ht="18.75" customHeight="1" thickBot="1">
      <c r="I13" s="114"/>
    </row>
    <row r="14" spans="2:9" ht="18.75" customHeight="1" thickBot="1">
      <c r="C14" s="228" t="s">
        <v>41</v>
      </c>
      <c r="D14" s="228"/>
      <c r="E14" s="228"/>
      <c r="F14" s="228"/>
      <c r="G14" s="228"/>
      <c r="H14" s="228"/>
      <c r="I14" s="8"/>
    </row>
    <row r="15" spans="2:9" ht="18.75" customHeight="1" thickBot="1"/>
    <row r="16" spans="2:9" ht="18.75" customHeight="1" thickBot="1">
      <c r="C16" s="240" t="s">
        <v>108</v>
      </c>
      <c r="D16" s="240"/>
      <c r="E16" s="240"/>
      <c r="F16" s="240"/>
      <c r="G16" s="240"/>
      <c r="H16" s="159" t="s">
        <v>42</v>
      </c>
      <c r="I16" s="143" t="e">
        <f>ROUND(I12*I14,2)</f>
        <v>#VALUE!</v>
      </c>
    </row>
    <row r="17" spans="1:9" ht="18.75" customHeight="1" thickBot="1"/>
    <row r="18" spans="1:9" ht="18.75" customHeight="1" thickBot="1">
      <c r="C18" s="228" t="s">
        <v>98</v>
      </c>
      <c r="D18" s="228"/>
      <c r="E18" s="228"/>
      <c r="F18" s="228"/>
      <c r="G18" s="228"/>
      <c r="H18" s="228"/>
      <c r="I18" s="14">
        <f>'DB別表3（削除禁止）'!F51</f>
        <v>530900</v>
      </c>
    </row>
    <row r="19" spans="1:9" ht="18.75" customHeight="1" thickBot="1"/>
    <row r="20" spans="1:9" ht="18.75" customHeight="1" thickBot="1">
      <c r="C20" s="228" t="s">
        <v>99</v>
      </c>
      <c r="D20" s="228"/>
      <c r="E20" s="228"/>
      <c r="F20" s="228"/>
      <c r="G20" s="228"/>
      <c r="H20" s="228"/>
      <c r="I20" s="142"/>
    </row>
    <row r="21" spans="1:9" ht="18.75" customHeight="1" thickBot="1"/>
    <row r="22" spans="1:9" ht="18.75" customHeight="1" thickBot="1">
      <c r="C22" s="228" t="s">
        <v>100</v>
      </c>
      <c r="D22" s="228"/>
      <c r="E22" s="228"/>
      <c r="F22" s="228"/>
      <c r="G22" s="228"/>
      <c r="H22" s="159" t="s">
        <v>43</v>
      </c>
      <c r="I22" s="143" t="str">
        <f>IF(OR(I18="",I20=""),"",MIN(I18,I20))</f>
        <v/>
      </c>
    </row>
    <row r="23" spans="1:9" ht="18.75" customHeight="1" thickBot="1"/>
    <row r="24" spans="1:9" ht="18.75" customHeight="1" thickBot="1">
      <c r="C24" s="240" t="s">
        <v>107</v>
      </c>
      <c r="D24" s="240"/>
      <c r="E24" s="240"/>
      <c r="F24" s="240"/>
      <c r="G24" s="240"/>
      <c r="H24" s="159" t="s">
        <v>33</v>
      </c>
      <c r="I24" s="145" t="e">
        <f>ROUND(I16*I22,0)</f>
        <v>#VALUE!</v>
      </c>
    </row>
    <row r="25" spans="1:9" ht="18.75" customHeight="1">
      <c r="B25" s="229"/>
      <c r="C25" s="229"/>
      <c r="D25" s="229"/>
      <c r="E25" s="229"/>
      <c r="F25" s="110"/>
    </row>
    <row r="26" spans="1:9" ht="18.75" customHeight="1">
      <c r="B26" s="110"/>
      <c r="C26" s="110"/>
      <c r="D26" s="110"/>
      <c r="E26" s="110"/>
      <c r="F26" s="110"/>
    </row>
    <row r="27" spans="1:9" ht="18.75" customHeight="1">
      <c r="B27" s="238" t="s">
        <v>137</v>
      </c>
      <c r="C27" s="238"/>
      <c r="D27" s="238"/>
      <c r="E27" s="238"/>
      <c r="F27" s="238"/>
      <c r="G27" s="238"/>
      <c r="H27" s="238"/>
      <c r="I27" s="238"/>
    </row>
    <row r="28" spans="1:9" ht="18.75" customHeight="1">
      <c r="A28" s="114" t="s">
        <v>34</v>
      </c>
      <c r="B28" s="238" t="s">
        <v>138</v>
      </c>
      <c r="C28" s="238"/>
      <c r="D28" s="238"/>
      <c r="E28" s="238"/>
      <c r="F28" s="238"/>
      <c r="G28" s="238"/>
      <c r="H28" s="238"/>
      <c r="I28" s="238"/>
    </row>
    <row r="29" spans="1:9" ht="18.75" customHeight="1">
      <c r="B29" s="113"/>
      <c r="C29" s="113"/>
      <c r="D29" s="113"/>
      <c r="E29" s="113"/>
      <c r="F29" s="113"/>
      <c r="G29" s="113"/>
      <c r="H29" s="113"/>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0:H20"/>
    <mergeCell ref="G1:I1"/>
    <mergeCell ref="B2:I2"/>
    <mergeCell ref="C4:D4"/>
    <mergeCell ref="C5:E5"/>
    <mergeCell ref="C6:I6"/>
    <mergeCell ref="C8:H8"/>
    <mergeCell ref="C10:H10"/>
    <mergeCell ref="C12:H12"/>
    <mergeCell ref="C14:H14"/>
    <mergeCell ref="C16:G16"/>
    <mergeCell ref="C18:H18"/>
    <mergeCell ref="C22:G22"/>
    <mergeCell ref="C24:G24"/>
    <mergeCell ref="B25:E25"/>
    <mergeCell ref="B27:I27"/>
    <mergeCell ref="B28:I28"/>
  </mergeCells>
  <phoneticPr fontId="1"/>
  <conditionalFormatting sqref="I10">
    <cfRule type="expression" dxfId="89" priority="9">
      <formula>IF(RIGHT(TEXT($I10,"0.#"),1)=".",FALSE,TRUE)</formula>
    </cfRule>
    <cfRule type="expression" dxfId="88" priority="10">
      <formula>IF(RIGHT(TEXT($I10,"0.#"),1)=".",TRUE,FALSE)</formula>
    </cfRule>
  </conditionalFormatting>
  <conditionalFormatting sqref="I12">
    <cfRule type="expression" dxfId="87" priority="7">
      <formula>IF(RIGHT(TEXT($I12,"0.#"),1)=".",FALSE,TRUE)</formula>
    </cfRule>
    <cfRule type="expression" dxfId="86" priority="8">
      <formula>IF(RIGHT(TEXT($I12,"0.#"),1)=".",TRUE,FALSE)</formula>
    </cfRule>
  </conditionalFormatting>
  <conditionalFormatting sqref="I16">
    <cfRule type="expression" dxfId="85" priority="5">
      <formula>IF(RIGHT(TEXT($I16,"0.#"),1)=".",FALSE,TRUE)</formula>
    </cfRule>
    <cfRule type="expression" dxfId="84" priority="6">
      <formula>IF(RIGHT(TEXT($I16,"0.#"),1)=".",TRUE,FALSE)</formula>
    </cfRule>
  </conditionalFormatting>
  <conditionalFormatting sqref="I22">
    <cfRule type="expression" dxfId="83" priority="3">
      <formula>IF(RIGHT(TEXT($I22,"0.#"),1)=".",FALSE,TRUE)</formula>
    </cfRule>
    <cfRule type="expression" dxfId="82" priority="4">
      <formula>IF(RIGHT(TEXT($I22,"0.#"),1)=".",TRUE,FALSE)</formula>
    </cfRule>
  </conditionalFormatting>
  <conditionalFormatting sqref="I20">
    <cfRule type="expression" dxfId="81" priority="1">
      <formula>IF(RIGHT(TEXT($I20,"0.#"),1)=".",FALSE,TRUE)</formula>
    </cfRule>
    <cfRule type="expression" dxfId="80" priority="2">
      <formula>IF(RIGHT(TEXT($I20,"0.#"),1)=".",TRUE,FALSE)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I60"/>
  <sheetViews>
    <sheetView view="pageBreakPreview" zoomScale="85" zoomScaleNormal="85" zoomScaleSheetLayoutView="85" workbookViewId="0">
      <selection activeCell="C5" sqref="C5:E5"/>
    </sheetView>
  </sheetViews>
  <sheetFormatPr defaultColWidth="9" defaultRowHeight="13"/>
  <cols>
    <col min="1" max="1" width="1.26953125" style="114" customWidth="1"/>
    <col min="2" max="2" width="13.90625" style="114" bestFit="1" customWidth="1"/>
    <col min="3" max="3" width="14" style="114" customWidth="1"/>
    <col min="4" max="8" width="9" style="114" customWidth="1"/>
    <col min="9" max="9" width="15" style="6" customWidth="1"/>
    <col min="10" max="16384" width="9" style="114"/>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113"/>
      <c r="C3" s="113"/>
      <c r="D3" s="113"/>
      <c r="E3" s="113"/>
      <c r="F3" s="113"/>
      <c r="G3" s="113"/>
      <c r="H3" s="113"/>
      <c r="I3" s="4"/>
    </row>
    <row r="4" spans="2:9" ht="18.75" customHeight="1">
      <c r="B4" s="9" t="s">
        <v>32</v>
      </c>
      <c r="C4" s="237"/>
      <c r="D4" s="237"/>
      <c r="E4" s="10"/>
      <c r="F4" s="10"/>
      <c r="G4" s="10"/>
      <c r="H4" s="10"/>
      <c r="I4" s="10"/>
    </row>
    <row r="5" spans="2:9" ht="18.75" customHeight="1">
      <c r="B5" s="9" t="s">
        <v>30</v>
      </c>
      <c r="C5" s="236"/>
      <c r="D5" s="236"/>
      <c r="E5" s="236"/>
      <c r="F5" s="111"/>
      <c r="G5" s="111"/>
      <c r="H5" s="111"/>
      <c r="I5" s="111"/>
    </row>
    <row r="6" spans="2:9" ht="18.75" customHeight="1">
      <c r="B6" s="9" t="s">
        <v>29</v>
      </c>
      <c r="C6" s="235" t="s">
        <v>358</v>
      </c>
      <c r="D6" s="235"/>
      <c r="E6" s="235"/>
      <c r="F6" s="235"/>
      <c r="G6" s="235"/>
      <c r="H6" s="235"/>
      <c r="I6" s="235"/>
    </row>
    <row r="7" spans="2:9" ht="18.75" customHeight="1" thickBot="1"/>
    <row r="8" spans="2:9" ht="18.75" customHeight="1" thickBot="1">
      <c r="C8" s="240" t="s">
        <v>35</v>
      </c>
      <c r="D8" s="240"/>
      <c r="E8" s="240"/>
      <c r="F8" s="240"/>
      <c r="G8" s="240"/>
      <c r="H8" s="146" t="s">
        <v>43</v>
      </c>
      <c r="I8" s="14">
        <f>'DB（削除禁止）'!CO4</f>
        <v>67369000</v>
      </c>
    </row>
    <row r="9" spans="2:9" ht="18.75" customHeight="1" thickBot="1"/>
    <row r="10" spans="2:9" ht="18.75" customHeight="1" thickBot="1">
      <c r="C10" s="240" t="s">
        <v>260</v>
      </c>
      <c r="D10" s="240"/>
      <c r="E10" s="240"/>
      <c r="F10" s="240"/>
      <c r="G10" s="240"/>
      <c r="H10" s="241"/>
      <c r="I10" s="7"/>
    </row>
    <row r="11" spans="2:9" ht="18.75" customHeight="1" thickBot="1"/>
    <row r="12" spans="2:9" ht="18.75" customHeight="1" thickBot="1">
      <c r="C12" s="240" t="s">
        <v>37</v>
      </c>
      <c r="D12" s="240"/>
      <c r="E12" s="240"/>
      <c r="F12" s="240"/>
      <c r="G12" s="240"/>
      <c r="H12" s="159" t="s">
        <v>334</v>
      </c>
      <c r="I12" s="8"/>
    </row>
    <row r="13" spans="2:9" ht="18.75" customHeight="1" thickBot="1"/>
    <row r="14" spans="2:9" ht="18.75" customHeight="1" thickBot="1">
      <c r="C14" s="228" t="s">
        <v>104</v>
      </c>
      <c r="D14" s="228"/>
      <c r="E14" s="228"/>
      <c r="F14" s="228"/>
      <c r="G14" s="228"/>
      <c r="H14" s="146" t="s">
        <v>33</v>
      </c>
      <c r="I14" s="143">
        <f>ROUND(I8*I10*I12,0)</f>
        <v>0</v>
      </c>
    </row>
    <row r="15" spans="2:9" ht="18.75" customHeight="1"/>
    <row r="16" spans="2:9" ht="18.75" customHeight="1">
      <c r="B16" s="113"/>
      <c r="C16" s="113"/>
      <c r="D16" s="113"/>
      <c r="E16" s="113"/>
      <c r="F16" s="113"/>
    </row>
    <row r="17" spans="1:9" ht="18.75" customHeight="1">
      <c r="B17" s="238" t="s">
        <v>44</v>
      </c>
      <c r="C17" s="238"/>
      <c r="D17" s="238"/>
      <c r="E17" s="238"/>
      <c r="F17" s="238"/>
      <c r="G17" s="238"/>
      <c r="H17" s="238"/>
      <c r="I17" s="238"/>
    </row>
    <row r="18" spans="1:9" ht="18.75" customHeight="1">
      <c r="A18" s="114" t="s">
        <v>34</v>
      </c>
      <c r="B18" s="238" t="s">
        <v>39</v>
      </c>
      <c r="C18" s="238"/>
      <c r="D18" s="238"/>
      <c r="E18" s="238"/>
      <c r="F18" s="238"/>
      <c r="G18" s="238"/>
      <c r="H18" s="238"/>
      <c r="I18" s="238"/>
    </row>
    <row r="19" spans="1:9" ht="18.75" customHeight="1">
      <c r="B19" s="113"/>
      <c r="C19" s="113"/>
      <c r="D19" s="113"/>
      <c r="E19" s="113"/>
      <c r="F19" s="113"/>
      <c r="G19" s="113"/>
      <c r="H19" s="113"/>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G1:I1"/>
    <mergeCell ref="B2:I2"/>
    <mergeCell ref="C4:D4"/>
    <mergeCell ref="C5:E5"/>
    <mergeCell ref="C6:I6"/>
    <mergeCell ref="B18:I18"/>
    <mergeCell ref="C8:G8"/>
    <mergeCell ref="C10:H10"/>
    <mergeCell ref="C14:G14"/>
    <mergeCell ref="B17:I17"/>
    <mergeCell ref="C12:G12"/>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I70"/>
  <sheetViews>
    <sheetView view="pageBreakPreview" zoomScale="85" zoomScaleNormal="85" zoomScaleSheetLayoutView="85" workbookViewId="0">
      <selection activeCell="C5" sqref="C5:E5"/>
    </sheetView>
  </sheetViews>
  <sheetFormatPr defaultColWidth="9" defaultRowHeight="13"/>
  <cols>
    <col min="1" max="1" width="1.26953125" style="114" customWidth="1"/>
    <col min="2" max="2" width="13.90625" style="114" bestFit="1" customWidth="1"/>
    <col min="3" max="3" width="14" style="114" customWidth="1"/>
    <col min="4" max="8" width="9" style="114" customWidth="1"/>
    <col min="9" max="9" width="15" style="6" customWidth="1"/>
    <col min="10" max="16384" width="9" style="114"/>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113"/>
      <c r="C3" s="113"/>
      <c r="D3" s="113"/>
      <c r="E3" s="113"/>
      <c r="F3" s="113"/>
      <c r="G3" s="113"/>
      <c r="H3" s="113"/>
      <c r="I3" s="4"/>
    </row>
    <row r="4" spans="2:9" ht="18.75" customHeight="1">
      <c r="B4" s="9" t="s">
        <v>32</v>
      </c>
      <c r="C4" s="237"/>
      <c r="D4" s="237"/>
      <c r="E4" s="10"/>
      <c r="F4" s="10"/>
      <c r="G4" s="10"/>
      <c r="H4" s="10"/>
      <c r="I4" s="10"/>
    </row>
    <row r="5" spans="2:9" ht="18.75" customHeight="1">
      <c r="B5" s="9" t="s">
        <v>30</v>
      </c>
      <c r="C5" s="236"/>
      <c r="D5" s="236"/>
      <c r="E5" s="236"/>
      <c r="F5" s="111"/>
      <c r="G5" s="111"/>
      <c r="H5" s="111"/>
      <c r="I5" s="111"/>
    </row>
    <row r="6" spans="2:9" ht="18.75" customHeight="1">
      <c r="B6" s="9" t="s">
        <v>29</v>
      </c>
      <c r="C6" s="235" t="s">
        <v>359</v>
      </c>
      <c r="D6" s="235"/>
      <c r="E6" s="235"/>
      <c r="F6" s="235"/>
      <c r="G6" s="235"/>
      <c r="H6" s="235"/>
      <c r="I6" s="235"/>
    </row>
    <row r="7" spans="2:9" ht="18.75" customHeight="1" thickBot="1"/>
    <row r="8" spans="2:9" ht="18.75" customHeight="1" thickBot="1">
      <c r="C8" s="228" t="s">
        <v>27</v>
      </c>
      <c r="D8" s="228"/>
      <c r="E8" s="228"/>
      <c r="F8" s="228"/>
      <c r="G8" s="228"/>
      <c r="H8" s="228"/>
      <c r="I8" s="14">
        <f>'DB（削除禁止）'!CS4</f>
        <v>100</v>
      </c>
    </row>
    <row r="9" spans="2:9" ht="18.75" customHeight="1" thickBot="1"/>
    <row r="10" spans="2:9" ht="18.75" customHeight="1" thickBot="1">
      <c r="C10" s="228" t="s">
        <v>28</v>
      </c>
      <c r="D10" s="228"/>
      <c r="E10" s="228"/>
      <c r="F10" s="228"/>
      <c r="G10" s="228"/>
      <c r="H10" s="228"/>
      <c r="I10" s="142"/>
    </row>
    <row r="11" spans="2:9" ht="18.75" customHeight="1" thickBot="1"/>
    <row r="12" spans="2:9" ht="18.75" customHeight="1" thickBot="1">
      <c r="C12" s="228" t="s">
        <v>40</v>
      </c>
      <c r="D12" s="228"/>
      <c r="E12" s="228"/>
      <c r="F12" s="228"/>
      <c r="G12" s="228"/>
      <c r="H12" s="228"/>
      <c r="I12" s="143" t="str">
        <f>IF(I10="","",MIN(I8,I10))</f>
        <v/>
      </c>
    </row>
    <row r="13" spans="2:9" ht="18.75" customHeight="1" thickBot="1">
      <c r="I13" s="114"/>
    </row>
    <row r="14" spans="2:9" ht="18.75" customHeight="1" thickBot="1">
      <c r="C14" s="228" t="s">
        <v>41</v>
      </c>
      <c r="D14" s="228"/>
      <c r="E14" s="228"/>
      <c r="F14" s="228"/>
      <c r="G14" s="228"/>
      <c r="H14" s="228"/>
      <c r="I14" s="8"/>
    </row>
    <row r="15" spans="2:9" ht="18.75" customHeight="1" thickBot="1"/>
    <row r="16" spans="2:9" ht="18.75" customHeight="1" thickBot="1">
      <c r="C16" s="240" t="s">
        <v>108</v>
      </c>
      <c r="D16" s="240"/>
      <c r="E16" s="240"/>
      <c r="F16" s="240"/>
      <c r="G16" s="240"/>
      <c r="H16" s="146" t="s">
        <v>42</v>
      </c>
      <c r="I16" s="143" t="e">
        <f>ROUND(I12*I14,2)</f>
        <v>#VALUE!</v>
      </c>
    </row>
    <row r="17" spans="1:9" ht="18.75" customHeight="1" thickBot="1"/>
    <row r="18" spans="1:9" ht="18.75" customHeight="1" thickBot="1">
      <c r="C18" s="228" t="s">
        <v>98</v>
      </c>
      <c r="D18" s="228"/>
      <c r="E18" s="228"/>
      <c r="F18" s="228"/>
      <c r="G18" s="228"/>
      <c r="H18" s="228"/>
      <c r="I18" s="14">
        <f>'DB別表3（削除禁止）'!F53</f>
        <v>530900</v>
      </c>
    </row>
    <row r="19" spans="1:9" ht="18.75" customHeight="1" thickBot="1"/>
    <row r="20" spans="1:9" ht="18.75" customHeight="1" thickBot="1">
      <c r="C20" s="228" t="s">
        <v>99</v>
      </c>
      <c r="D20" s="228"/>
      <c r="E20" s="228"/>
      <c r="F20" s="228"/>
      <c r="G20" s="228"/>
      <c r="H20" s="228"/>
      <c r="I20" s="142"/>
    </row>
    <row r="21" spans="1:9" ht="18.75" customHeight="1" thickBot="1"/>
    <row r="22" spans="1:9" ht="18.75" customHeight="1" thickBot="1">
      <c r="C22" s="228" t="s">
        <v>100</v>
      </c>
      <c r="D22" s="228"/>
      <c r="E22" s="228"/>
      <c r="F22" s="228"/>
      <c r="G22" s="228"/>
      <c r="H22" s="146" t="s">
        <v>43</v>
      </c>
      <c r="I22" s="143" t="str">
        <f>IF(OR(I18="",I20=""),"",MIN(I18,I20))</f>
        <v/>
      </c>
    </row>
    <row r="23" spans="1:9" ht="18.75" customHeight="1" thickBot="1"/>
    <row r="24" spans="1:9" ht="18.75" customHeight="1" thickBot="1">
      <c r="C24" s="240" t="s">
        <v>107</v>
      </c>
      <c r="D24" s="240"/>
      <c r="E24" s="240"/>
      <c r="F24" s="240"/>
      <c r="G24" s="240"/>
      <c r="H24" s="146" t="s">
        <v>33</v>
      </c>
      <c r="I24" s="145" t="e">
        <f>ROUND(I16*I22,0)</f>
        <v>#VALUE!</v>
      </c>
    </row>
    <row r="25" spans="1:9" ht="18.75" customHeight="1">
      <c r="B25" s="229"/>
      <c r="C25" s="229"/>
      <c r="D25" s="229"/>
      <c r="E25" s="229"/>
      <c r="F25" s="110"/>
    </row>
    <row r="26" spans="1:9" ht="18.75" customHeight="1">
      <c r="B26" s="110"/>
      <c r="C26" s="110"/>
      <c r="D26" s="110"/>
      <c r="E26" s="110"/>
      <c r="F26" s="110"/>
    </row>
    <row r="27" spans="1:9" ht="18.75" customHeight="1">
      <c r="B27" s="238" t="s">
        <v>137</v>
      </c>
      <c r="C27" s="238"/>
      <c r="D27" s="238"/>
      <c r="E27" s="238"/>
      <c r="F27" s="238"/>
      <c r="G27" s="238"/>
      <c r="H27" s="238"/>
      <c r="I27" s="238"/>
    </row>
    <row r="28" spans="1:9" ht="18.75" customHeight="1">
      <c r="A28" s="114" t="s">
        <v>34</v>
      </c>
      <c r="B28" s="238" t="s">
        <v>138</v>
      </c>
      <c r="C28" s="238"/>
      <c r="D28" s="238"/>
      <c r="E28" s="238"/>
      <c r="F28" s="238"/>
      <c r="G28" s="238"/>
      <c r="H28" s="238"/>
      <c r="I28" s="238"/>
    </row>
    <row r="29" spans="1:9" ht="18.75" customHeight="1">
      <c r="B29" s="113"/>
      <c r="C29" s="113"/>
      <c r="D29" s="113"/>
      <c r="E29" s="113"/>
      <c r="F29" s="113"/>
      <c r="G29" s="113"/>
      <c r="H29" s="113"/>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0:H20"/>
    <mergeCell ref="G1:I1"/>
    <mergeCell ref="B2:I2"/>
    <mergeCell ref="C4:D4"/>
    <mergeCell ref="C5:E5"/>
    <mergeCell ref="C6:I6"/>
    <mergeCell ref="C8:H8"/>
    <mergeCell ref="C10:H10"/>
    <mergeCell ref="C12:H12"/>
    <mergeCell ref="C14:H14"/>
    <mergeCell ref="C16:G16"/>
    <mergeCell ref="C18:H18"/>
    <mergeCell ref="C22:G22"/>
    <mergeCell ref="C24:G24"/>
    <mergeCell ref="B25:E25"/>
    <mergeCell ref="B27:I27"/>
    <mergeCell ref="B28:I28"/>
  </mergeCells>
  <phoneticPr fontId="1"/>
  <conditionalFormatting sqref="I10">
    <cfRule type="expression" dxfId="79" priority="9">
      <formula>IF(RIGHT(TEXT($I10,"0.#"),1)=".",FALSE,TRUE)</formula>
    </cfRule>
    <cfRule type="expression" dxfId="78" priority="10">
      <formula>IF(RIGHT(TEXT($I10,"0.#"),1)=".",TRUE,FALSE)</formula>
    </cfRule>
  </conditionalFormatting>
  <conditionalFormatting sqref="I12">
    <cfRule type="expression" dxfId="77" priority="7">
      <formula>IF(RIGHT(TEXT($I12,"0.#"),1)=".",FALSE,TRUE)</formula>
    </cfRule>
    <cfRule type="expression" dxfId="76" priority="8">
      <formula>IF(RIGHT(TEXT($I12,"0.#"),1)=".",TRUE,FALSE)</formula>
    </cfRule>
  </conditionalFormatting>
  <conditionalFormatting sqref="I16">
    <cfRule type="expression" dxfId="75" priority="5">
      <formula>IF(RIGHT(TEXT($I16,"0.#"),1)=".",FALSE,TRUE)</formula>
    </cfRule>
    <cfRule type="expression" dxfId="74" priority="6">
      <formula>IF(RIGHT(TEXT($I16,"0.#"),1)=".",TRUE,FALSE)</formula>
    </cfRule>
  </conditionalFormatting>
  <conditionalFormatting sqref="I22">
    <cfRule type="expression" dxfId="73" priority="3">
      <formula>IF(RIGHT(TEXT($I22,"0.#"),1)=".",FALSE,TRUE)</formula>
    </cfRule>
    <cfRule type="expression" dxfId="72" priority="4">
      <formula>IF(RIGHT(TEXT($I22,"0.#"),1)=".",TRUE,FALSE)</formula>
    </cfRule>
  </conditionalFormatting>
  <conditionalFormatting sqref="I20">
    <cfRule type="expression" dxfId="71" priority="1">
      <formula>IF(RIGHT(TEXT($I20,"0.#"),1)=".",FALSE,TRUE)</formula>
    </cfRule>
    <cfRule type="expression" dxfId="70" priority="2">
      <formula>IF(RIGHT(TEXT($I20,"0.#"),1)=".",TRUE,FALSE)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I101"/>
  <sheetViews>
    <sheetView view="pageBreakPreview" zoomScale="85" zoomScaleNormal="85" zoomScaleSheetLayoutView="85" workbookViewId="0">
      <selection activeCell="C5" sqref="C5:E5"/>
    </sheetView>
  </sheetViews>
  <sheetFormatPr defaultColWidth="9" defaultRowHeight="13"/>
  <cols>
    <col min="1" max="1" width="1.26953125" style="114" customWidth="1"/>
    <col min="2" max="2" width="13.90625" style="114" bestFit="1" customWidth="1"/>
    <col min="3" max="3" width="14" style="114" customWidth="1"/>
    <col min="4" max="8" width="9" style="114" customWidth="1"/>
    <col min="9" max="9" width="15" style="114" customWidth="1"/>
    <col min="10" max="16384" width="9" style="114"/>
  </cols>
  <sheetData>
    <row r="1" spans="2:9" ht="18.75" customHeight="1">
      <c r="F1" s="233" t="s">
        <v>38</v>
      </c>
      <c r="G1" s="233"/>
      <c r="H1" s="233"/>
      <c r="I1" s="233"/>
    </row>
    <row r="2" spans="2:9" ht="40.5" customHeight="1">
      <c r="B2" s="234" t="s">
        <v>327</v>
      </c>
      <c r="C2" s="234"/>
      <c r="D2" s="234"/>
      <c r="E2" s="234"/>
      <c r="F2" s="234"/>
      <c r="G2" s="234"/>
      <c r="H2" s="234"/>
      <c r="I2" s="234"/>
    </row>
    <row r="3" spans="2:9" ht="18.75" customHeight="1">
      <c r="B3" s="113"/>
      <c r="C3" s="113"/>
      <c r="D3" s="113"/>
      <c r="E3" s="113"/>
      <c r="F3" s="113"/>
      <c r="G3" s="113"/>
      <c r="H3" s="113"/>
      <c r="I3" s="113"/>
    </row>
    <row r="4" spans="2:9" ht="18.75" customHeight="1">
      <c r="B4" s="9" t="s">
        <v>32</v>
      </c>
      <c r="C4" s="237"/>
      <c r="D4" s="237"/>
      <c r="E4" s="10"/>
      <c r="F4" s="10"/>
      <c r="G4" s="10"/>
      <c r="H4" s="10"/>
      <c r="I4" s="10"/>
    </row>
    <row r="5" spans="2:9" ht="18.75" customHeight="1">
      <c r="B5" s="9" t="s">
        <v>30</v>
      </c>
      <c r="C5" s="236"/>
      <c r="D5" s="236"/>
      <c r="E5" s="236"/>
      <c r="F5" s="111"/>
      <c r="G5" s="111"/>
      <c r="H5" s="111"/>
      <c r="I5" s="111"/>
    </row>
    <row r="6" spans="2:9" ht="18.75" customHeight="1">
      <c r="B6" s="9" t="s">
        <v>29</v>
      </c>
      <c r="C6" s="235" t="s">
        <v>360</v>
      </c>
      <c r="D6" s="235"/>
      <c r="E6" s="235"/>
      <c r="F6" s="235"/>
      <c r="G6" s="235"/>
      <c r="H6" s="235"/>
      <c r="I6" s="235"/>
    </row>
    <row r="7" spans="2:9" ht="18.75" customHeight="1"/>
    <row r="8" spans="2:9" ht="18" customHeight="1">
      <c r="C8" s="228" t="s">
        <v>27</v>
      </c>
      <c r="D8" s="228"/>
      <c r="E8" s="228"/>
      <c r="F8" s="228"/>
      <c r="G8" s="228"/>
      <c r="H8" s="228"/>
    </row>
    <row r="9" spans="2:9" s="122" customFormat="1" ht="18" customHeight="1" thickBot="1">
      <c r="C9" s="119"/>
      <c r="D9" s="119"/>
      <c r="E9" s="119"/>
      <c r="F9" s="119"/>
      <c r="G9" s="119"/>
      <c r="H9" s="119"/>
      <c r="I9" s="4"/>
    </row>
    <row r="10" spans="2:9" s="122" customFormat="1" ht="18" customHeight="1" thickBot="1">
      <c r="C10" s="122" t="s">
        <v>262</v>
      </c>
      <c r="D10" s="119"/>
      <c r="E10" s="119"/>
      <c r="F10" s="119"/>
      <c r="G10" s="119"/>
      <c r="I10" s="46">
        <f>'DB（削除禁止）'!CX4</f>
        <v>100</v>
      </c>
    </row>
    <row r="11" spans="2:9" s="122" customFormat="1" ht="18" customHeight="1" thickBot="1">
      <c r="C11" s="124"/>
      <c r="D11" s="119"/>
      <c r="E11" s="119"/>
      <c r="F11" s="119"/>
      <c r="G11" s="119"/>
    </row>
    <row r="12" spans="2:9" s="122" customFormat="1" ht="18" customHeight="1" thickBot="1">
      <c r="C12" s="122" t="s">
        <v>264</v>
      </c>
      <c r="D12" s="119"/>
      <c r="E12" s="119"/>
      <c r="F12" s="119"/>
      <c r="G12" s="119"/>
      <c r="I12" s="46">
        <f>'DB（削除禁止）'!CX5</f>
        <v>75</v>
      </c>
    </row>
    <row r="13" spans="2:9" s="122" customFormat="1" ht="18" customHeight="1">
      <c r="C13" s="119"/>
      <c r="D13" s="119"/>
      <c r="E13" s="119"/>
      <c r="F13" s="119"/>
      <c r="G13" s="119"/>
      <c r="H13" s="124"/>
    </row>
    <row r="14" spans="2:9" ht="18" customHeight="1">
      <c r="C14" s="228" t="s">
        <v>28</v>
      </c>
      <c r="D14" s="228"/>
      <c r="E14" s="228"/>
      <c r="F14" s="228"/>
      <c r="G14" s="228"/>
      <c r="H14" s="228"/>
    </row>
    <row r="15" spans="2:9" ht="20.25" customHeight="1" thickBot="1">
      <c r="C15" s="109"/>
      <c r="D15" s="109"/>
      <c r="E15" s="109"/>
      <c r="F15" s="109"/>
      <c r="G15" s="109"/>
      <c r="H15" s="109"/>
    </row>
    <row r="16" spans="2:9" ht="18" customHeight="1" thickBot="1">
      <c r="C16" s="122" t="s">
        <v>262</v>
      </c>
      <c r="D16" s="109"/>
      <c r="E16" s="109"/>
      <c r="F16" s="109"/>
      <c r="G16" s="109"/>
      <c r="I16" s="142"/>
    </row>
    <row r="17" spans="3:9" ht="20.25" customHeight="1" thickBot="1">
      <c r="C17" s="124"/>
      <c r="D17" s="109"/>
      <c r="E17" s="109"/>
      <c r="F17" s="109"/>
      <c r="G17" s="109"/>
    </row>
    <row r="18" spans="3:9" ht="18" customHeight="1" thickBot="1">
      <c r="C18" s="122" t="s">
        <v>264</v>
      </c>
      <c r="D18" s="109"/>
      <c r="E18" s="109"/>
      <c r="F18" s="109"/>
      <c r="G18" s="109"/>
      <c r="I18" s="142"/>
    </row>
    <row r="19" spans="3:9" ht="20.25" customHeight="1">
      <c r="C19" s="109"/>
      <c r="D19" s="109"/>
      <c r="E19" s="109"/>
      <c r="F19" s="109"/>
      <c r="G19" s="109"/>
      <c r="H19" s="115"/>
    </row>
    <row r="20" spans="3:9" ht="18" customHeight="1">
      <c r="C20" s="228" t="s">
        <v>263</v>
      </c>
      <c r="D20" s="228"/>
      <c r="E20" s="228"/>
      <c r="F20" s="228"/>
      <c r="G20" s="228"/>
      <c r="H20" s="228"/>
      <c r="I20" s="122"/>
    </row>
    <row r="21" spans="3:9" s="122" customFormat="1" ht="18" customHeight="1" thickBot="1">
      <c r="C21" s="119"/>
      <c r="D21" s="119"/>
      <c r="E21" s="119"/>
      <c r="F21" s="119"/>
      <c r="G21" s="119"/>
      <c r="H21" s="119"/>
      <c r="I21" s="116"/>
    </row>
    <row r="22" spans="3:9" s="122" customFormat="1" ht="18" customHeight="1" thickBot="1">
      <c r="C22" s="122" t="s">
        <v>262</v>
      </c>
      <c r="D22" s="119"/>
      <c r="E22" s="119"/>
      <c r="F22" s="119"/>
      <c r="G22" s="119"/>
      <c r="I22" s="143" t="str">
        <f>IF(I16="","",MIN(I10,I16))</f>
        <v/>
      </c>
    </row>
    <row r="23" spans="3:9" s="122" customFormat="1" ht="18" customHeight="1" thickBot="1">
      <c r="C23" s="124"/>
      <c r="D23" s="119"/>
      <c r="E23" s="119"/>
      <c r="F23" s="119"/>
      <c r="G23" s="119"/>
    </row>
    <row r="24" spans="3:9" s="122" customFormat="1" ht="18" customHeight="1" thickBot="1">
      <c r="C24" s="122" t="s">
        <v>264</v>
      </c>
      <c r="D24" s="119"/>
      <c r="E24" s="119"/>
      <c r="F24" s="119"/>
      <c r="G24" s="119"/>
      <c r="I24" s="143" t="str">
        <f>IF(I18="","",MIN(I12,I18))</f>
        <v/>
      </c>
    </row>
    <row r="25" spans="3:9" ht="20.25" customHeight="1" thickBot="1"/>
    <row r="26" spans="3:9" ht="18" customHeight="1" thickBot="1">
      <c r="C26" s="228" t="s">
        <v>41</v>
      </c>
      <c r="D26" s="228"/>
      <c r="E26" s="228"/>
      <c r="F26" s="228"/>
      <c r="G26" s="228"/>
      <c r="H26" s="228"/>
      <c r="I26" s="47"/>
    </row>
    <row r="27" spans="3:9" ht="20.25" customHeight="1">
      <c r="I27" s="6"/>
    </row>
    <row r="28" spans="3:9" ht="18" customHeight="1">
      <c r="C28" s="240" t="s">
        <v>108</v>
      </c>
      <c r="D28" s="240"/>
      <c r="E28" s="240"/>
      <c r="F28" s="240"/>
      <c r="G28" s="240"/>
    </row>
    <row r="29" spans="3:9" ht="20.25" customHeight="1" thickBot="1">
      <c r="H29" s="115"/>
    </row>
    <row r="30" spans="3:9" ht="18" customHeight="1" thickBot="1">
      <c r="C30" s="122" t="s">
        <v>262</v>
      </c>
      <c r="D30" s="109"/>
      <c r="E30" s="109"/>
      <c r="F30" s="109"/>
      <c r="G30" s="109"/>
      <c r="H30" s="115"/>
      <c r="I30" s="142"/>
    </row>
    <row r="31" spans="3:9" ht="20.25" customHeight="1" thickBot="1">
      <c r="C31" s="124"/>
      <c r="D31" s="109"/>
      <c r="E31" s="109"/>
      <c r="F31" s="109"/>
      <c r="G31" s="109"/>
    </row>
    <row r="32" spans="3:9" ht="18" customHeight="1" thickBot="1">
      <c r="C32" s="122" t="s">
        <v>264</v>
      </c>
      <c r="D32" s="109"/>
      <c r="E32" s="109"/>
      <c r="F32" s="109"/>
      <c r="G32" s="109"/>
      <c r="H32" s="115"/>
      <c r="I32" s="142"/>
    </row>
    <row r="33" spans="3:9" ht="20.25" customHeight="1" thickBot="1">
      <c r="D33" s="109"/>
      <c r="E33" s="109"/>
      <c r="F33" s="109"/>
      <c r="G33" s="109"/>
    </row>
    <row r="34" spans="3:9" ht="18" customHeight="1" thickBot="1">
      <c r="D34" s="109"/>
      <c r="E34" s="109"/>
      <c r="F34" s="109"/>
      <c r="G34" s="247" t="s">
        <v>249</v>
      </c>
      <c r="H34" s="248"/>
      <c r="I34" s="143">
        <f>SUM(I30,I32)</f>
        <v>0</v>
      </c>
    </row>
    <row r="35" spans="3:9" s="122" customFormat="1" ht="18" customHeight="1">
      <c r="D35" s="119"/>
      <c r="E35" s="119"/>
      <c r="F35" s="119"/>
      <c r="G35" s="124"/>
      <c r="H35" s="126"/>
    </row>
    <row r="36" spans="3:9" ht="18" customHeight="1" thickBot="1">
      <c r="C36" s="228" t="s">
        <v>98</v>
      </c>
      <c r="D36" s="228"/>
      <c r="E36" s="228"/>
      <c r="F36" s="228"/>
      <c r="G36" s="228"/>
      <c r="H36" s="228"/>
    </row>
    <row r="37" spans="3:9" ht="18" customHeight="1" thickBot="1">
      <c r="C37" s="122" t="s">
        <v>262</v>
      </c>
      <c r="E37" s="120" t="s">
        <v>92</v>
      </c>
      <c r="F37" s="232"/>
      <c r="G37" s="232"/>
      <c r="H37" s="109"/>
      <c r="I37" s="46" t="str">
        <f>IF(OR(I30="",F37=""),"",VLOOKUP(F37,'DB別表3（削除禁止）'!$E$55:$F$56,2,FALSE))</f>
        <v/>
      </c>
    </row>
    <row r="38" spans="3:9" ht="20.25" customHeight="1" thickBot="1">
      <c r="C38" s="124"/>
      <c r="E38" s="112"/>
      <c r="H38" s="109"/>
    </row>
    <row r="39" spans="3:9" ht="18" customHeight="1" thickBot="1">
      <c r="C39" s="122" t="s">
        <v>264</v>
      </c>
      <c r="E39" s="120" t="s">
        <v>92</v>
      </c>
      <c r="F39" s="232"/>
      <c r="G39" s="232"/>
      <c r="H39" s="109"/>
      <c r="I39" s="46" t="str">
        <f>IF(OR(I32="",F39=""),"",VLOOKUP(F39,'DB別表3（削除禁止）'!$E$57:$F$58,2,FALSE))</f>
        <v/>
      </c>
    </row>
    <row r="40" spans="3:9" ht="20.25" customHeight="1" thickBot="1">
      <c r="C40" s="112"/>
      <c r="D40" s="112"/>
      <c r="H40" s="109"/>
    </row>
    <row r="41" spans="3:9" ht="18" customHeight="1" thickBot="1">
      <c r="C41" s="228" t="s">
        <v>99</v>
      </c>
      <c r="D41" s="228"/>
      <c r="E41" s="228"/>
      <c r="F41" s="228"/>
      <c r="G41" s="228"/>
      <c r="H41" s="228"/>
      <c r="I41" s="155"/>
    </row>
    <row r="42" spans="3:9" ht="20.25" customHeight="1">
      <c r="I42" s="6"/>
    </row>
    <row r="43" spans="3:9" ht="18" customHeight="1">
      <c r="C43" s="228" t="s">
        <v>248</v>
      </c>
      <c r="D43" s="228"/>
      <c r="E43" s="228"/>
      <c r="F43" s="228"/>
      <c r="G43" s="228"/>
    </row>
    <row r="44" spans="3:9" ht="20.25" customHeight="1" thickBot="1">
      <c r="C44" s="109"/>
      <c r="D44" s="109"/>
      <c r="E44" s="109"/>
      <c r="F44" s="109"/>
      <c r="G44" s="109"/>
      <c r="H44" s="115"/>
    </row>
    <row r="45" spans="3:9" ht="18" customHeight="1" thickBot="1">
      <c r="C45" s="122" t="s">
        <v>262</v>
      </c>
      <c r="D45" s="109"/>
      <c r="E45" s="109"/>
      <c r="F45" s="109"/>
      <c r="G45" s="109"/>
      <c r="H45" s="146" t="s">
        <v>43</v>
      </c>
      <c r="I45" s="143" t="str">
        <f>IF(OR(I37="",I41=""),"",MIN(I37,I41))</f>
        <v/>
      </c>
    </row>
    <row r="46" spans="3:9" ht="20.25" customHeight="1" thickBot="1">
      <c r="C46" s="124"/>
      <c r="D46" s="109"/>
      <c r="E46" s="109"/>
      <c r="F46" s="109"/>
      <c r="G46" s="109"/>
      <c r="H46" s="115"/>
    </row>
    <row r="47" spans="3:9" ht="18" customHeight="1" thickBot="1">
      <c r="C47" s="122" t="s">
        <v>264</v>
      </c>
      <c r="D47" s="109"/>
      <c r="E47" s="109"/>
      <c r="F47" s="109"/>
      <c r="G47" s="109"/>
      <c r="H47" s="146" t="s">
        <v>43</v>
      </c>
      <c r="I47" s="143" t="str">
        <f>IF(OR(I39="",I41=""),"",MIN(I39,I41))</f>
        <v/>
      </c>
    </row>
    <row r="48" spans="3:9" ht="20.25" customHeight="1">
      <c r="C48" s="109"/>
      <c r="D48" s="109"/>
      <c r="E48" s="109"/>
      <c r="F48" s="109"/>
      <c r="G48" s="109"/>
      <c r="H48" s="115"/>
    </row>
    <row r="49" spans="1:9" ht="18" customHeight="1">
      <c r="C49" s="240" t="s">
        <v>266</v>
      </c>
      <c r="D49" s="240"/>
      <c r="E49" s="240"/>
      <c r="F49" s="240"/>
      <c r="G49" s="240"/>
    </row>
    <row r="50" spans="1:9" ht="20.25" customHeight="1" thickBot="1">
      <c r="H50" s="115"/>
    </row>
    <row r="51" spans="1:9" ht="18" customHeight="1" thickBot="1">
      <c r="C51" s="122" t="s">
        <v>262</v>
      </c>
      <c r="H51" s="115"/>
      <c r="I51" s="46" t="str">
        <f>IF(I45="","",ROUNDDOWN(I30*I45,0))</f>
        <v/>
      </c>
    </row>
    <row r="52" spans="1:9" ht="20.25" customHeight="1" thickBot="1">
      <c r="C52" s="124"/>
      <c r="H52" s="115"/>
    </row>
    <row r="53" spans="1:9" ht="18" customHeight="1" thickBot="1">
      <c r="B53" s="113"/>
      <c r="C53" s="122" t="s">
        <v>264</v>
      </c>
      <c r="D53" s="113"/>
      <c r="E53" s="113"/>
      <c r="I53" s="46" t="str">
        <f>IF(I39="","",ROUNDDOWN(I32*I47,0))</f>
        <v/>
      </c>
    </row>
    <row r="54" spans="1:9" ht="20.25" customHeight="1" thickBot="1">
      <c r="B54" s="110"/>
      <c r="C54" s="110"/>
      <c r="D54" s="110"/>
      <c r="E54" s="110"/>
    </row>
    <row r="55" spans="1:9" ht="18" customHeight="1" thickBot="1">
      <c r="B55" s="110"/>
      <c r="C55" s="110"/>
      <c r="D55" s="110"/>
      <c r="E55" s="110"/>
      <c r="G55" s="247" t="s">
        <v>251</v>
      </c>
      <c r="H55" s="248"/>
      <c r="I55" s="147" t="str">
        <f>IF(I51="",I53,IF(I53="",I51,SUM(I51+I53)))</f>
        <v/>
      </c>
    </row>
    <row r="56" spans="1:9" ht="20.25" customHeight="1">
      <c r="B56" s="110"/>
      <c r="C56" s="110"/>
      <c r="D56" s="110"/>
      <c r="E56" s="110"/>
    </row>
    <row r="57" spans="1:9" ht="20.25" customHeight="1">
      <c r="B57" s="110"/>
      <c r="C57" s="110"/>
      <c r="D57" s="110"/>
      <c r="E57" s="110"/>
    </row>
    <row r="58" spans="1:9" ht="18" customHeight="1">
      <c r="B58" s="238" t="s">
        <v>137</v>
      </c>
      <c r="C58" s="238"/>
      <c r="D58" s="238"/>
      <c r="E58" s="238"/>
      <c r="F58" s="238"/>
      <c r="G58" s="238"/>
      <c r="H58" s="238"/>
      <c r="I58" s="238"/>
    </row>
    <row r="59" spans="1:9" ht="18" customHeight="1">
      <c r="A59" s="114" t="s">
        <v>34</v>
      </c>
      <c r="B59" s="238" t="s">
        <v>138</v>
      </c>
      <c r="C59" s="238"/>
      <c r="D59" s="238"/>
      <c r="E59" s="238"/>
      <c r="F59" s="238"/>
      <c r="G59" s="238"/>
      <c r="H59" s="238"/>
      <c r="I59" s="238"/>
    </row>
    <row r="60" spans="1:9" ht="18.75" customHeight="1">
      <c r="B60" s="113"/>
      <c r="C60" s="113"/>
      <c r="D60" s="113"/>
      <c r="E60" s="113"/>
      <c r="F60" s="113"/>
      <c r="G60" s="113"/>
      <c r="H60" s="113"/>
      <c r="I60" s="113"/>
    </row>
    <row r="61" spans="1:9" ht="18.75" customHeight="1"/>
    <row r="62" spans="1:9" ht="18.75" customHeight="1"/>
    <row r="63" spans="1:9" ht="18.75" customHeight="1"/>
    <row r="64" spans="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sheetData>
  <mergeCells count="20">
    <mergeCell ref="F1:I1"/>
    <mergeCell ref="B2:I2"/>
    <mergeCell ref="C4:D4"/>
    <mergeCell ref="C5:E5"/>
    <mergeCell ref="C6:I6"/>
    <mergeCell ref="C8:H8"/>
    <mergeCell ref="C14:H14"/>
    <mergeCell ref="C20:H20"/>
    <mergeCell ref="C26:H26"/>
    <mergeCell ref="C28:G28"/>
    <mergeCell ref="B59:I59"/>
    <mergeCell ref="G34:H34"/>
    <mergeCell ref="C36:H36"/>
    <mergeCell ref="F37:G37"/>
    <mergeCell ref="F39:G39"/>
    <mergeCell ref="C41:H41"/>
    <mergeCell ref="C43:G43"/>
    <mergeCell ref="C49:G49"/>
    <mergeCell ref="G55:H55"/>
    <mergeCell ref="B58:I58"/>
  </mergeCells>
  <phoneticPr fontId="1"/>
  <conditionalFormatting sqref="I16">
    <cfRule type="expression" dxfId="69" priority="23">
      <formula>IF(RIGHT(TEXT($I16,"0.#"),1)=".",FALSE,TRUE)</formula>
    </cfRule>
    <cfRule type="expression" dxfId="68" priority="24">
      <formula>IF(RIGHT(TEXT($I16,"0.#"),1)=".",TRUE,FALSE)</formula>
    </cfRule>
  </conditionalFormatting>
  <conditionalFormatting sqref="I18">
    <cfRule type="expression" dxfId="67" priority="21">
      <formula>IF(RIGHT(TEXT($I18,"0.#"),1)=".",FALSE,TRUE)</formula>
    </cfRule>
    <cfRule type="expression" dxfId="66" priority="22">
      <formula>IF(RIGHT(TEXT($I18,"0.#"),1)=".",TRUE,FALSE)</formula>
    </cfRule>
  </conditionalFormatting>
  <conditionalFormatting sqref="I22">
    <cfRule type="expression" dxfId="65" priority="19">
      <formula>IF(RIGHT(TEXT($I22,"0.#"),1)=".",FALSE,TRUE)</formula>
    </cfRule>
    <cfRule type="expression" dxfId="64" priority="20">
      <formula>IF(RIGHT(TEXT($I22,"0.#"),1)=".",TRUE,FALSE)</formula>
    </cfRule>
  </conditionalFormatting>
  <conditionalFormatting sqref="I24">
    <cfRule type="expression" dxfId="63" priority="17">
      <formula>IF(RIGHT(TEXT($I24,"0.#"),1)=".",FALSE,TRUE)</formula>
    </cfRule>
    <cfRule type="expression" dxfId="62" priority="18">
      <formula>IF(RIGHT(TEXT($I24,"0.#"),1)=".",TRUE,FALSE)</formula>
    </cfRule>
  </conditionalFormatting>
  <conditionalFormatting sqref="I30">
    <cfRule type="expression" dxfId="61" priority="9">
      <formula>IF(RIGHT(TEXT($I30,"0.#"),1)=".",FALSE,TRUE)</formula>
    </cfRule>
    <cfRule type="expression" dxfId="60" priority="10">
      <formula>IF(RIGHT(TEXT($I30,"0.#"),1)=".",TRUE,FALSE)</formula>
    </cfRule>
  </conditionalFormatting>
  <conditionalFormatting sqref="I32">
    <cfRule type="expression" dxfId="59" priority="7">
      <formula>IF(RIGHT(TEXT($I32,"0.#"),1)=".",FALSE,TRUE)</formula>
    </cfRule>
    <cfRule type="expression" dxfId="58" priority="8">
      <formula>IF(RIGHT(TEXT($I32,"0.#"),1)=".",TRUE,FALSE)</formula>
    </cfRule>
  </conditionalFormatting>
  <conditionalFormatting sqref="I34">
    <cfRule type="expression" dxfId="57" priority="5">
      <formula>IF(RIGHT(TEXT($I34,"0.#"),1)=".",FALSE,TRUE)</formula>
    </cfRule>
    <cfRule type="expression" dxfId="56" priority="6">
      <formula>IF(RIGHT(TEXT($I34,"0.#"),1)=".",TRUE,FALSE)</formula>
    </cfRule>
  </conditionalFormatting>
  <conditionalFormatting sqref="I45">
    <cfRule type="expression" dxfId="55" priority="3">
      <formula>IF(RIGHT(TEXT($I45,"0.#"),1)=".",FALSE,TRUE)</formula>
    </cfRule>
    <cfRule type="expression" dxfId="54" priority="4">
      <formula>IF(RIGHT(TEXT($I45,"0.#"),1)=".",TRUE,FALSE)</formula>
    </cfRule>
  </conditionalFormatting>
  <conditionalFormatting sqref="I47">
    <cfRule type="expression" dxfId="53" priority="1">
      <formula>IF(RIGHT(TEXT($I47,"0.#"),1)=".",FALSE,TRUE)</formula>
    </cfRule>
    <cfRule type="expression" dxfId="52" priority="2">
      <formula>IF(RIGHT(TEXT($I47,"0.#"),1)=".",TRUE,FALSE)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'DB別表3（削除禁止）'!$E$55:$E$56</xm:f>
          </x14:formula1>
          <xm:sqref>F37:G37</xm:sqref>
        </x14:dataValidation>
        <x14:dataValidation type="list" allowBlank="1" showInputMessage="1" showErrorMessage="1">
          <x14:formula1>
            <xm:f>'DB別表3（削除禁止）'!$E$57:$E$58</xm:f>
          </x14:formula1>
          <xm:sqref>F39:G39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83"/>
  <sheetViews>
    <sheetView view="pageBreakPreview" zoomScale="85" zoomScaleNormal="85" zoomScaleSheetLayoutView="85" workbookViewId="0">
      <selection activeCell="C25" sqref="C25:G25"/>
    </sheetView>
  </sheetViews>
  <sheetFormatPr defaultColWidth="9" defaultRowHeight="13"/>
  <cols>
    <col min="1" max="1" width="1.26953125" style="2" customWidth="1"/>
    <col min="2" max="2" width="13.90625" style="2" bestFit="1" customWidth="1"/>
    <col min="3" max="3" width="14" style="2" customWidth="1"/>
    <col min="4" max="8" width="9" style="2" customWidth="1"/>
    <col min="9" max="9" width="15" style="6" customWidth="1"/>
    <col min="10" max="16384" width="9" style="2"/>
  </cols>
  <sheetData>
    <row r="1" spans="2:9" ht="18.75" customHeight="1">
      <c r="F1" s="233" t="s">
        <v>38</v>
      </c>
      <c r="G1" s="233"/>
      <c r="H1" s="233"/>
      <c r="I1" s="233"/>
    </row>
    <row r="2" spans="2:9" ht="40.5" customHeight="1">
      <c r="B2" s="234" t="s">
        <v>327</v>
      </c>
      <c r="C2" s="234"/>
      <c r="D2" s="234"/>
      <c r="E2" s="234"/>
      <c r="F2" s="234"/>
      <c r="G2" s="234"/>
      <c r="H2" s="234"/>
      <c r="I2" s="234"/>
    </row>
    <row r="3" spans="2:9" ht="18.75" customHeight="1">
      <c r="B3" s="3"/>
      <c r="C3" s="3"/>
      <c r="D3" s="3"/>
      <c r="E3" s="3"/>
      <c r="F3" s="3"/>
      <c r="G3" s="3"/>
      <c r="H3" s="3"/>
      <c r="I3" s="4"/>
    </row>
    <row r="4" spans="2:9" ht="18.75" customHeight="1">
      <c r="B4" s="9" t="s">
        <v>32</v>
      </c>
      <c r="C4" s="237"/>
      <c r="D4" s="237"/>
      <c r="E4" s="10"/>
      <c r="F4" s="10"/>
      <c r="G4" s="10"/>
      <c r="H4" s="10"/>
      <c r="I4" s="10"/>
    </row>
    <row r="5" spans="2:9" ht="18.75" customHeight="1">
      <c r="B5" s="9" t="s">
        <v>30</v>
      </c>
      <c r="C5" s="236"/>
      <c r="D5" s="236"/>
      <c r="E5" s="236"/>
      <c r="F5" s="5"/>
      <c r="G5" s="5"/>
      <c r="H5" s="5"/>
      <c r="I5" s="5"/>
    </row>
    <row r="6" spans="2:9" ht="18.75" customHeight="1">
      <c r="B6" s="9" t="s">
        <v>29</v>
      </c>
      <c r="C6" s="235" t="s">
        <v>51</v>
      </c>
      <c r="D6" s="235"/>
      <c r="E6" s="235"/>
      <c r="F6" s="235"/>
      <c r="G6" s="235"/>
      <c r="H6" s="235"/>
      <c r="I6" s="235"/>
    </row>
    <row r="7" spans="2:9" ht="18.75" customHeight="1">
      <c r="B7" s="9" t="s">
        <v>65</v>
      </c>
      <c r="C7" s="235" t="s">
        <v>75</v>
      </c>
      <c r="D7" s="235"/>
      <c r="E7" s="235"/>
      <c r="F7" s="235"/>
      <c r="G7" s="235"/>
      <c r="H7" s="235"/>
      <c r="I7" s="19"/>
    </row>
    <row r="8" spans="2:9" ht="18.75" customHeight="1" thickBot="1"/>
    <row r="9" spans="2:9" ht="18.75" customHeight="1" thickBot="1">
      <c r="C9" s="228" t="s">
        <v>27</v>
      </c>
      <c r="D9" s="228"/>
      <c r="E9" s="228"/>
      <c r="F9" s="228"/>
      <c r="G9" s="228"/>
      <c r="I9" s="14" t="str">
        <f>IF(D10="","",VLOOKUP(D10,'DB（削除禁止）'!$H$4:$I$5,2,FALSE))</f>
        <v/>
      </c>
    </row>
    <row r="10" spans="2:9" ht="18.75" customHeight="1">
      <c r="C10" s="15" t="s">
        <v>48</v>
      </c>
      <c r="D10" s="239"/>
      <c r="E10" s="239"/>
      <c r="F10" s="239"/>
      <c r="G10" s="239"/>
      <c r="I10" s="16"/>
    </row>
    <row r="11" spans="2:9" ht="18.75" customHeight="1" thickBot="1">
      <c r="C11" s="15"/>
      <c r="D11" s="13"/>
      <c r="E11" s="13"/>
      <c r="F11" s="13"/>
      <c r="G11" s="13"/>
      <c r="I11" s="16"/>
    </row>
    <row r="12" spans="2:9" ht="18.75" customHeight="1" thickBot="1">
      <c r="C12" s="136" t="str">
        <f>"　　心臓病専用病室（ＣＣＵ）加算（"&amp;'DB（削除禁止）'!I11&amp;"㎡／床）"</f>
        <v>　　心臓病専用病室（ＣＣＵ）加算（15㎡／床）</v>
      </c>
      <c r="D12" s="136"/>
      <c r="E12" s="136"/>
      <c r="F12" s="136"/>
      <c r="G12" s="134"/>
      <c r="I12" s="14">
        <f>VLOOKUP(E13,'DB（削除禁止）'!$H$8:$I$10,2,FALSE)</f>
        <v>0</v>
      </c>
    </row>
    <row r="13" spans="2:9" ht="18.75" customHeight="1" thickBot="1">
      <c r="C13" s="231" t="s">
        <v>56</v>
      </c>
      <c r="D13" s="231"/>
      <c r="E13" s="31"/>
      <c r="F13" s="13"/>
      <c r="G13" s="13"/>
      <c r="I13" s="16"/>
    </row>
    <row r="14" spans="2:9" ht="18.75" customHeight="1" thickBot="1">
      <c r="C14" s="15"/>
      <c r="D14" s="13"/>
      <c r="E14" s="13"/>
      <c r="F14" s="13"/>
      <c r="G14" s="13"/>
      <c r="I14" s="16"/>
    </row>
    <row r="15" spans="2:9" ht="18.75" customHeight="1" thickBot="1">
      <c r="C15" s="240" t="str">
        <f>"　　脳卒中専用病室（ＳＣＵ）加算（"&amp;'DB（削除禁止）'!I11&amp;"㎡／床）"</f>
        <v>　　脳卒中専用病室（ＳＣＵ）加算（15㎡／床）</v>
      </c>
      <c r="D15" s="240"/>
      <c r="E15" s="240"/>
      <c r="F15" s="240"/>
      <c r="G15" s="240"/>
      <c r="I15" s="14">
        <f>VLOOKUP(E16,'DB（削除禁止）'!$H$8:$I$10,2,FALSE)</f>
        <v>0</v>
      </c>
    </row>
    <row r="16" spans="2:9" ht="18.75" customHeight="1" thickBot="1">
      <c r="C16" s="231" t="s">
        <v>56</v>
      </c>
      <c r="D16" s="231"/>
      <c r="E16" s="31"/>
      <c r="F16" s="13"/>
      <c r="G16" s="13"/>
      <c r="I16" s="16"/>
    </row>
    <row r="17" spans="3:13" ht="18.75" customHeight="1" thickBot="1">
      <c r="C17" s="21"/>
      <c r="D17" s="21"/>
      <c r="E17" s="18"/>
      <c r="F17" s="18"/>
      <c r="G17" s="18"/>
      <c r="I17" s="16"/>
    </row>
    <row r="18" spans="3:13" ht="18.75" customHeight="1" thickBot="1">
      <c r="C18" s="21"/>
      <c r="D18" s="21"/>
      <c r="E18" s="16"/>
      <c r="F18" s="18"/>
      <c r="H18" s="32" t="s">
        <v>101</v>
      </c>
      <c r="I18" s="38">
        <f>SUM(I9,I12,I15)</f>
        <v>0</v>
      </c>
    </row>
    <row r="19" spans="3:13" ht="18.75" customHeight="1" thickBot="1">
      <c r="C19" s="21"/>
      <c r="D19" s="21"/>
      <c r="E19" s="16"/>
      <c r="F19" s="18"/>
      <c r="G19" s="18"/>
      <c r="I19" s="16"/>
    </row>
    <row r="20" spans="3:13" ht="18.75" customHeight="1" thickBot="1">
      <c r="C20" s="228" t="s">
        <v>28</v>
      </c>
      <c r="D20" s="228"/>
      <c r="E20" s="228"/>
      <c r="F20" s="228"/>
      <c r="G20" s="228"/>
      <c r="I20" s="142"/>
      <c r="J20" s="132"/>
    </row>
    <row r="21" spans="3:13" ht="18.75" customHeight="1" thickBot="1">
      <c r="M21" s="15"/>
    </row>
    <row r="22" spans="3:13" ht="18.75" customHeight="1" thickBot="1">
      <c r="C22" s="228" t="s">
        <v>58</v>
      </c>
      <c r="D22" s="228"/>
      <c r="E22" s="228"/>
      <c r="F22" s="228"/>
      <c r="G22" s="228"/>
      <c r="I22" s="143" t="str">
        <f>IF(OR(I18="",I20=""),"",MIN(I18,I20))</f>
        <v/>
      </c>
      <c r="J22" s="132"/>
    </row>
    <row r="23" spans="3:13" ht="18.75" customHeight="1" thickBot="1">
      <c r="I23" s="2"/>
    </row>
    <row r="24" spans="3:13" ht="18.75" customHeight="1" thickBot="1">
      <c r="C24" s="228" t="s">
        <v>41</v>
      </c>
      <c r="D24" s="228"/>
      <c r="E24" s="228"/>
      <c r="F24" s="228"/>
      <c r="G24" s="228"/>
      <c r="I24" s="8"/>
    </row>
    <row r="25" spans="3:13" ht="18.75" customHeight="1" thickBot="1"/>
    <row r="26" spans="3:13" ht="18.75" customHeight="1" thickBot="1">
      <c r="C26" s="228" t="s">
        <v>102</v>
      </c>
      <c r="D26" s="228"/>
      <c r="E26" s="228"/>
      <c r="F26" s="228"/>
      <c r="G26" s="228"/>
      <c r="H26" s="146" t="s">
        <v>42</v>
      </c>
      <c r="I26" s="143" t="e">
        <f>ROUND(I22*I24,2)</f>
        <v>#VALUE!</v>
      </c>
      <c r="J26" s="132"/>
    </row>
    <row r="27" spans="3:13" ht="18.75" customHeight="1" thickBot="1"/>
    <row r="28" spans="3:13" ht="18.75" customHeight="1" thickBot="1">
      <c r="C28" s="228" t="s">
        <v>98</v>
      </c>
      <c r="D28" s="228"/>
      <c r="E28" s="228"/>
      <c r="F28" s="228"/>
      <c r="G28" s="228"/>
      <c r="I28" s="14">
        <f>'DB別表3（削除禁止）'!F6</f>
        <v>250000</v>
      </c>
    </row>
    <row r="29" spans="3:13" ht="18.75" customHeight="1" thickBot="1"/>
    <row r="30" spans="3:13" ht="18.75" customHeight="1" thickBot="1">
      <c r="C30" s="228" t="s">
        <v>99</v>
      </c>
      <c r="D30" s="228"/>
      <c r="E30" s="228"/>
      <c r="F30" s="228"/>
      <c r="G30" s="228"/>
      <c r="I30" s="142"/>
    </row>
    <row r="31" spans="3:13" ht="18.75" customHeight="1" thickBot="1"/>
    <row r="32" spans="3:13" ht="18.75" customHeight="1" thickBot="1">
      <c r="C32" s="228" t="s">
        <v>100</v>
      </c>
      <c r="D32" s="228"/>
      <c r="E32" s="228"/>
      <c r="F32" s="228"/>
      <c r="H32" s="146" t="s">
        <v>43</v>
      </c>
      <c r="I32" s="143" t="str">
        <f>IF(OR(I28="",I30=""),"",MIN(I28,I30))</f>
        <v/>
      </c>
    </row>
    <row r="33" spans="1:10" ht="18.75" customHeight="1" thickBot="1"/>
    <row r="34" spans="1:10" ht="18.75" customHeight="1" thickBot="1">
      <c r="C34" s="228" t="s">
        <v>103</v>
      </c>
      <c r="D34" s="228"/>
      <c r="E34" s="228"/>
      <c r="F34" s="228"/>
      <c r="G34" s="228"/>
      <c r="H34" s="146" t="s">
        <v>33</v>
      </c>
      <c r="I34" s="145" t="e">
        <f>ROUND(I26*I32,0)</f>
        <v>#VALUE!</v>
      </c>
    </row>
    <row r="35" spans="1:10" ht="18.75" customHeight="1">
      <c r="B35" s="33"/>
      <c r="C35" s="33"/>
      <c r="D35" s="33"/>
      <c r="E35" s="33"/>
    </row>
    <row r="36" spans="1:10" ht="18.75" customHeight="1">
      <c r="B36" s="17"/>
      <c r="C36" s="17"/>
      <c r="D36" s="17"/>
      <c r="E36" s="17"/>
    </row>
    <row r="37" spans="1:10" ht="18.75" customHeight="1">
      <c r="B37" s="229" t="s">
        <v>53</v>
      </c>
      <c r="C37" s="229"/>
      <c r="D37" s="229"/>
      <c r="E37" s="229"/>
      <c r="F37" s="229"/>
      <c r="G37" s="229"/>
      <c r="H37" s="229"/>
      <c r="I37" s="229"/>
    </row>
    <row r="38" spans="1:10" ht="18.75" customHeight="1">
      <c r="A38" s="2" t="s">
        <v>34</v>
      </c>
      <c r="B38" s="229" t="s">
        <v>52</v>
      </c>
      <c r="C38" s="229"/>
      <c r="D38" s="229"/>
      <c r="E38" s="229"/>
      <c r="F38" s="229"/>
      <c r="G38" s="229"/>
      <c r="H38" s="229"/>
      <c r="I38" s="229"/>
    </row>
    <row r="39" spans="1:10" ht="18.75" customHeight="1">
      <c r="B39" s="11"/>
      <c r="C39" s="11"/>
      <c r="D39" s="11"/>
      <c r="E39" s="11"/>
    </row>
    <row r="40" spans="1:10" ht="18.75" customHeight="1">
      <c r="B40" s="238" t="s">
        <v>137</v>
      </c>
      <c r="C40" s="238"/>
      <c r="D40" s="238"/>
      <c r="E40" s="238"/>
      <c r="F40" s="238"/>
      <c r="G40" s="238"/>
      <c r="H40" s="238"/>
      <c r="I40" s="238"/>
      <c r="J40" s="43"/>
    </row>
    <row r="41" spans="1:10" ht="18.75" customHeight="1">
      <c r="A41" s="2" t="s">
        <v>34</v>
      </c>
      <c r="B41" s="238" t="s">
        <v>138</v>
      </c>
      <c r="C41" s="238"/>
      <c r="D41" s="238"/>
      <c r="E41" s="238"/>
      <c r="F41" s="238"/>
      <c r="G41" s="238"/>
      <c r="H41" s="238"/>
      <c r="I41" s="238"/>
      <c r="J41" s="43"/>
    </row>
    <row r="42" spans="1:10" ht="18.75" customHeight="1">
      <c r="B42" s="3"/>
      <c r="C42" s="3"/>
      <c r="D42" s="3"/>
      <c r="E42" s="3"/>
      <c r="F42" s="3"/>
      <c r="G42" s="3"/>
      <c r="H42" s="3"/>
      <c r="I42" s="4"/>
    </row>
    <row r="43" spans="1:10" ht="18.75" customHeight="1"/>
    <row r="44" spans="1:10" ht="18.75" customHeight="1"/>
    <row r="45" spans="1:10" ht="18.75" customHeight="1"/>
    <row r="46" spans="1:10" ht="18.75" customHeight="1"/>
    <row r="47" spans="1:10" ht="18.75" customHeight="1"/>
    <row r="48" spans="1:1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sheetData>
  <mergeCells count="23">
    <mergeCell ref="C26:G26"/>
    <mergeCell ref="C34:G34"/>
    <mergeCell ref="B40:I40"/>
    <mergeCell ref="B41:I41"/>
    <mergeCell ref="C28:G28"/>
    <mergeCell ref="C30:G30"/>
    <mergeCell ref="C32:F32"/>
    <mergeCell ref="B37:I37"/>
    <mergeCell ref="B38:I38"/>
    <mergeCell ref="C24:G24"/>
    <mergeCell ref="D10:G10"/>
    <mergeCell ref="F1:I1"/>
    <mergeCell ref="B2:I2"/>
    <mergeCell ref="C6:I6"/>
    <mergeCell ref="C5:E5"/>
    <mergeCell ref="C9:G9"/>
    <mergeCell ref="C4:D4"/>
    <mergeCell ref="C7:H7"/>
    <mergeCell ref="C13:D13"/>
    <mergeCell ref="C16:D16"/>
    <mergeCell ref="C20:G20"/>
    <mergeCell ref="C22:G22"/>
    <mergeCell ref="C15:G15"/>
  </mergeCells>
  <phoneticPr fontId="1"/>
  <conditionalFormatting sqref="I20">
    <cfRule type="expression" dxfId="295" priority="11">
      <formula>IF(RIGHT(TEXT($I20,"0.#"),1)=".",FALSE,TRUE)</formula>
    </cfRule>
    <cfRule type="expression" dxfId="294" priority="12">
      <formula>IF(RIGHT(TEXT($I20,"0.#"),1)=".",TRUE,FALSE)</formula>
    </cfRule>
  </conditionalFormatting>
  <conditionalFormatting sqref="I22">
    <cfRule type="expression" dxfId="293" priority="9">
      <formula>IF(RIGHT(TEXT($I22,"0.#"),1)=".",FALSE,TRUE)</formula>
    </cfRule>
    <cfRule type="expression" dxfId="292" priority="10">
      <formula>IF(RIGHT(TEXT($I22,"0.#"),1)=".",TRUE,FALSE)</formula>
    </cfRule>
  </conditionalFormatting>
  <conditionalFormatting sqref="I32">
    <cfRule type="expression" dxfId="291" priority="5">
      <formula>IF(RIGHT(TEXT($I32,"0.#"),1)=".",FALSE,TRUE)</formula>
    </cfRule>
    <cfRule type="expression" dxfId="290" priority="6">
      <formula>IF(RIGHT(TEXT($I32,"0.#"),1)=".",TRUE,FALSE)</formula>
    </cfRule>
  </conditionalFormatting>
  <conditionalFormatting sqref="I30">
    <cfRule type="expression" dxfId="289" priority="3">
      <formula>IF(RIGHT(TEXT($I30,"0.#"),1)=".",FALSE,TRUE)</formula>
    </cfRule>
    <cfRule type="expression" dxfId="288" priority="4">
      <formula>IF(RIGHT(TEXT($I30,"0.#"),1)=".",TRUE,FALSE)</formula>
    </cfRule>
  </conditionalFormatting>
  <conditionalFormatting sqref="I26">
    <cfRule type="expression" dxfId="287" priority="1">
      <formula>IF(RIGHT(TEXT($I26,"0.#"),1)=".",FALSE,TRUE)</formula>
    </cfRule>
    <cfRule type="expression" dxfId="286" priority="2">
      <formula>IF(RIGHT(TEXT($I26,"0.#"),1)=".",TRUE,FALSE)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'DB（削除禁止）'!$H$4:$H$5</xm:f>
          </x14:formula1>
          <xm:sqref>D10</xm:sqref>
        </x14:dataValidation>
        <x14:dataValidation type="list" allowBlank="1" showInputMessage="1" showErrorMessage="1">
          <x14:formula1>
            <xm:f>'DB（削除禁止）'!$H$8:$H$10</xm:f>
          </x14:formula1>
          <xm:sqref>E13 E16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J68"/>
  <sheetViews>
    <sheetView view="pageBreakPreview" zoomScale="85" zoomScaleNormal="85" zoomScaleSheetLayoutView="85" workbookViewId="0">
      <selection activeCell="C5" sqref="C5:E5"/>
    </sheetView>
  </sheetViews>
  <sheetFormatPr defaultColWidth="9" defaultRowHeight="13"/>
  <cols>
    <col min="1" max="1" width="1.26953125" style="122" customWidth="1"/>
    <col min="2" max="2" width="13.90625" style="122" bestFit="1" customWidth="1"/>
    <col min="3" max="3" width="14" style="122" customWidth="1"/>
    <col min="4" max="5" width="9" style="122"/>
    <col min="6" max="8" width="9" style="122" customWidth="1"/>
    <col min="9" max="9" width="15" style="6" customWidth="1"/>
    <col min="10" max="16384" width="9" style="122"/>
  </cols>
  <sheetData>
    <row r="1" spans="2:10" ht="18.75" customHeight="1">
      <c r="G1" s="233" t="s">
        <v>38</v>
      </c>
      <c r="H1" s="233"/>
      <c r="I1" s="233"/>
    </row>
    <row r="2" spans="2:10" ht="40.5" customHeight="1">
      <c r="B2" s="234" t="s">
        <v>327</v>
      </c>
      <c r="C2" s="234"/>
      <c r="D2" s="234"/>
      <c r="E2" s="234"/>
      <c r="F2" s="234"/>
      <c r="G2" s="234"/>
      <c r="H2" s="234"/>
      <c r="I2" s="234"/>
    </row>
    <row r="3" spans="2:10" ht="18.75" customHeight="1">
      <c r="B3" s="118"/>
      <c r="C3" s="118"/>
      <c r="D3" s="118"/>
      <c r="E3" s="118"/>
      <c r="F3" s="118"/>
      <c r="G3" s="118"/>
      <c r="H3" s="118"/>
      <c r="I3" s="4"/>
    </row>
    <row r="4" spans="2:10" ht="18.75" customHeight="1">
      <c r="B4" s="9" t="s">
        <v>32</v>
      </c>
      <c r="C4" s="237"/>
      <c r="D4" s="237"/>
      <c r="E4" s="10"/>
      <c r="F4" s="10"/>
      <c r="G4" s="10"/>
      <c r="H4" s="10"/>
      <c r="I4" s="10"/>
    </row>
    <row r="5" spans="2:10" ht="18.75" customHeight="1">
      <c r="B5" s="9" t="s">
        <v>30</v>
      </c>
      <c r="C5" s="236"/>
      <c r="D5" s="236"/>
      <c r="E5" s="236"/>
      <c r="F5" s="121"/>
      <c r="G5" s="121"/>
      <c r="H5" s="121"/>
      <c r="I5" s="121"/>
    </row>
    <row r="6" spans="2:10" ht="18.75" customHeight="1">
      <c r="B6" s="9" t="s">
        <v>29</v>
      </c>
      <c r="C6" s="235" t="s">
        <v>399</v>
      </c>
      <c r="D6" s="235"/>
      <c r="E6" s="235"/>
      <c r="F6" s="235"/>
      <c r="G6" s="235"/>
      <c r="H6" s="235"/>
      <c r="I6" s="235"/>
      <c r="J6" s="121"/>
    </row>
    <row r="7" spans="2:10" ht="18.75" customHeight="1">
      <c r="B7" s="9"/>
      <c r="C7" s="121"/>
      <c r="D7" s="121"/>
      <c r="E7" s="121"/>
      <c r="F7" s="121"/>
      <c r="G7" s="121"/>
      <c r="H7" s="121"/>
      <c r="I7" s="121"/>
      <c r="J7" s="121"/>
    </row>
    <row r="8" spans="2:10" ht="18.75" customHeight="1">
      <c r="B8" s="9" t="s">
        <v>65</v>
      </c>
      <c r="C8" s="242" t="s">
        <v>77</v>
      </c>
      <c r="D8" s="242"/>
      <c r="E8" s="242"/>
      <c r="F8" s="242"/>
      <c r="G8" s="123"/>
      <c r="H8" s="123"/>
      <c r="I8" s="123"/>
      <c r="J8" s="123"/>
    </row>
    <row r="9" spans="2:10" ht="18.75" customHeight="1" thickBot="1"/>
    <row r="10" spans="2:10" ht="18.75" customHeight="1" thickBot="1">
      <c r="C10" s="228" t="s">
        <v>27</v>
      </c>
      <c r="D10" s="228"/>
      <c r="E10" s="228"/>
      <c r="F10" s="228"/>
      <c r="G10" s="228"/>
      <c r="H10" s="228"/>
      <c r="I10" s="14">
        <f>'DB（削除禁止）'!X28</f>
        <v>2300</v>
      </c>
    </row>
    <row r="11" spans="2:10" ht="18.75" customHeight="1" thickBot="1"/>
    <row r="12" spans="2:10" ht="18.75" customHeight="1" thickBot="1">
      <c r="C12" s="228" t="s">
        <v>28</v>
      </c>
      <c r="D12" s="228"/>
      <c r="E12" s="228"/>
      <c r="F12" s="228"/>
      <c r="G12" s="228"/>
      <c r="H12" s="228"/>
      <c r="I12" s="142"/>
    </row>
    <row r="13" spans="2:10" ht="18.75" customHeight="1" thickBot="1"/>
    <row r="14" spans="2:10" ht="18.75" customHeight="1" thickBot="1">
      <c r="C14" s="228" t="s">
        <v>40</v>
      </c>
      <c r="D14" s="228"/>
      <c r="E14" s="228"/>
      <c r="F14" s="228"/>
      <c r="G14" s="228"/>
      <c r="H14" s="228"/>
      <c r="I14" s="143" t="str">
        <f>IF(I12="","",MIN(I10,I12))</f>
        <v/>
      </c>
    </row>
    <row r="15" spans="2:10" ht="18.75" customHeight="1" thickBot="1">
      <c r="I15" s="122"/>
    </row>
    <row r="16" spans="2:10" ht="18.75" customHeight="1" thickBot="1">
      <c r="C16" s="228" t="s">
        <v>41</v>
      </c>
      <c r="D16" s="228"/>
      <c r="E16" s="228"/>
      <c r="F16" s="228"/>
      <c r="G16" s="228"/>
      <c r="H16" s="228"/>
      <c r="I16" s="8"/>
    </row>
    <row r="17" spans="2:9" ht="18.75" customHeight="1" thickBot="1"/>
    <row r="18" spans="2:9" ht="18.75" customHeight="1" thickBot="1">
      <c r="C18" s="240" t="s">
        <v>102</v>
      </c>
      <c r="D18" s="240"/>
      <c r="E18" s="240"/>
      <c r="F18" s="240"/>
      <c r="G18" s="240"/>
      <c r="H18" s="146" t="s">
        <v>42</v>
      </c>
      <c r="I18" s="143" t="e">
        <f>ROUND(I14*I16,2)</f>
        <v>#VALUE!</v>
      </c>
    </row>
    <row r="19" spans="2:9" ht="18.75" customHeight="1" thickBot="1"/>
    <row r="20" spans="2:9" ht="18.75" customHeight="1" thickBot="1">
      <c r="C20" s="240" t="s">
        <v>133</v>
      </c>
      <c r="D20" s="240"/>
      <c r="E20" s="240"/>
      <c r="F20" s="240"/>
      <c r="G20" s="240"/>
      <c r="H20" s="241"/>
      <c r="I20" s="14">
        <f>'DB（削除禁止）'!Y28</f>
        <v>43500</v>
      </c>
    </row>
    <row r="21" spans="2:9" ht="18.75" customHeight="1" thickBot="1"/>
    <row r="22" spans="2:9" ht="18.75" customHeight="1" thickBot="1">
      <c r="C22" s="240" t="s">
        <v>166</v>
      </c>
      <c r="D22" s="240"/>
      <c r="E22" s="240"/>
      <c r="F22" s="240"/>
      <c r="G22" s="240"/>
      <c r="H22" s="241"/>
      <c r="I22" s="142"/>
    </row>
    <row r="23" spans="2:9" ht="18.75" customHeight="1" thickBot="1"/>
    <row r="24" spans="2:9" ht="18.75" customHeight="1" thickBot="1">
      <c r="C24" s="240" t="s">
        <v>100</v>
      </c>
      <c r="D24" s="240"/>
      <c r="E24" s="240"/>
      <c r="F24" s="240"/>
      <c r="G24" s="240"/>
      <c r="H24" s="146" t="s">
        <v>43</v>
      </c>
      <c r="I24" s="143" t="str">
        <f>IF(I22="","",MIN(I20,I22))</f>
        <v/>
      </c>
    </row>
    <row r="25" spans="2:9" ht="18.75" customHeight="1" thickBot="1"/>
    <row r="26" spans="2:9" ht="18.75" customHeight="1" thickBot="1">
      <c r="C26" s="240" t="s">
        <v>107</v>
      </c>
      <c r="D26" s="240"/>
      <c r="E26" s="240"/>
      <c r="F26" s="240"/>
      <c r="G26" s="240"/>
      <c r="H26" s="146" t="s">
        <v>33</v>
      </c>
      <c r="I26" s="145" t="e">
        <f>ROUND(I18*I24,0)</f>
        <v>#VALUE!</v>
      </c>
    </row>
    <row r="27" spans="2:9" ht="18.75" customHeight="1">
      <c r="B27" s="118"/>
      <c r="C27" s="118"/>
      <c r="D27" s="118"/>
      <c r="E27" s="118"/>
      <c r="F27" s="118"/>
    </row>
    <row r="28" spans="2:9" ht="18.75" customHeight="1">
      <c r="B28" s="118"/>
      <c r="C28" s="118"/>
      <c r="D28" s="118"/>
      <c r="E28" s="118"/>
      <c r="F28" s="118"/>
    </row>
    <row r="29" spans="2:9" ht="18.75" customHeight="1">
      <c r="B29" s="9" t="s">
        <v>65</v>
      </c>
      <c r="C29" s="235" t="s">
        <v>306</v>
      </c>
      <c r="D29" s="235"/>
      <c r="E29" s="235"/>
      <c r="F29" s="235"/>
      <c r="G29" s="235"/>
    </row>
    <row r="30" spans="2:9" ht="18.75" customHeight="1" thickBot="1">
      <c r="B30" s="118"/>
      <c r="C30" s="118"/>
      <c r="D30" s="118"/>
      <c r="E30" s="118"/>
      <c r="F30" s="118"/>
      <c r="G30" s="118"/>
      <c r="H30" s="118"/>
      <c r="I30" s="4"/>
    </row>
    <row r="31" spans="2:9" ht="18.75" customHeight="1" thickBot="1">
      <c r="C31" s="240" t="s">
        <v>35</v>
      </c>
      <c r="D31" s="240"/>
      <c r="E31" s="240"/>
      <c r="F31" s="240"/>
      <c r="G31" s="240"/>
      <c r="H31" s="241"/>
      <c r="I31" s="14">
        <f>'DB（削除禁止）'!DD5</f>
        <v>34293000</v>
      </c>
    </row>
    <row r="32" spans="2:9" ht="18.75" customHeight="1" thickBot="1"/>
    <row r="33" spans="1:10" ht="18.75" customHeight="1" thickBot="1">
      <c r="C33" s="240" t="s">
        <v>36</v>
      </c>
      <c r="D33" s="240"/>
      <c r="E33" s="240"/>
      <c r="F33" s="240"/>
      <c r="G33" s="240"/>
      <c r="H33" s="241"/>
      <c r="I33" s="7"/>
    </row>
    <row r="34" spans="1:10" ht="18.75" customHeight="1" thickBot="1"/>
    <row r="35" spans="1:10" ht="18.75" customHeight="1" thickBot="1">
      <c r="C35" s="240" t="s">
        <v>37</v>
      </c>
      <c r="D35" s="240"/>
      <c r="E35" s="240"/>
      <c r="F35" s="240"/>
      <c r="G35" s="240"/>
      <c r="H35" s="241"/>
      <c r="I35" s="8"/>
    </row>
    <row r="36" spans="1:10" ht="18.75" customHeight="1" thickBot="1"/>
    <row r="37" spans="1:10" ht="18.75" customHeight="1" thickBot="1">
      <c r="C37" s="228" t="s">
        <v>104</v>
      </c>
      <c r="D37" s="228"/>
      <c r="E37" s="228"/>
      <c r="F37" s="228"/>
      <c r="G37" s="228"/>
      <c r="H37" s="146" t="s">
        <v>33</v>
      </c>
      <c r="I37" s="143">
        <f>ROUND(I31*I33*I35,0)</f>
        <v>0</v>
      </c>
    </row>
    <row r="38" spans="1:10" ht="18.75" customHeight="1"/>
    <row r="39" spans="1:10" ht="18.75" customHeight="1">
      <c r="B39" s="118"/>
      <c r="C39" s="118"/>
      <c r="D39" s="118"/>
      <c r="E39" s="118"/>
      <c r="F39" s="118"/>
    </row>
    <row r="40" spans="1:10" ht="18.75" customHeight="1">
      <c r="B40" s="238" t="s">
        <v>137</v>
      </c>
      <c r="C40" s="238"/>
      <c r="D40" s="238"/>
      <c r="E40" s="238"/>
      <c r="F40" s="238"/>
      <c r="G40" s="238"/>
      <c r="H40" s="238"/>
      <c r="I40" s="238"/>
      <c r="J40" s="118"/>
    </row>
    <row r="41" spans="1:10" ht="18.75" customHeight="1">
      <c r="A41" s="122" t="s">
        <v>34</v>
      </c>
      <c r="B41" s="238" t="s">
        <v>138</v>
      </c>
      <c r="C41" s="238"/>
      <c r="D41" s="238"/>
      <c r="E41" s="238"/>
      <c r="F41" s="238"/>
      <c r="G41" s="238"/>
      <c r="H41" s="238"/>
      <c r="I41" s="238"/>
      <c r="J41" s="118"/>
    </row>
    <row r="42" spans="1:10" ht="18.75" customHeight="1"/>
    <row r="43" spans="1:10" ht="18.75" customHeight="1"/>
    <row r="44" spans="1:10" ht="18.75" customHeight="1"/>
    <row r="45" spans="1:10" ht="18.75" customHeight="1"/>
    <row r="46" spans="1:10" ht="18.75" customHeight="1"/>
    <row r="47" spans="1:10" ht="18.75" customHeight="1"/>
    <row r="48" spans="1:1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sheetData>
  <mergeCells count="22">
    <mergeCell ref="B40:I40"/>
    <mergeCell ref="B41:I41"/>
    <mergeCell ref="C10:H10"/>
    <mergeCell ref="C12:H12"/>
    <mergeCell ref="C14:H14"/>
    <mergeCell ref="C16:H16"/>
    <mergeCell ref="C18:G18"/>
    <mergeCell ref="C20:H20"/>
    <mergeCell ref="C31:H31"/>
    <mergeCell ref="C33:H33"/>
    <mergeCell ref="C35:H35"/>
    <mergeCell ref="C37:G37"/>
    <mergeCell ref="C22:H22"/>
    <mergeCell ref="C24:G24"/>
    <mergeCell ref="C26:G26"/>
    <mergeCell ref="C8:F8"/>
    <mergeCell ref="C29:G29"/>
    <mergeCell ref="G1:I1"/>
    <mergeCell ref="B2:I2"/>
    <mergeCell ref="C4:D4"/>
    <mergeCell ref="C5:E5"/>
    <mergeCell ref="C6:I6"/>
  </mergeCells>
  <phoneticPr fontId="1"/>
  <conditionalFormatting sqref="I12">
    <cfRule type="expression" dxfId="51" priority="9">
      <formula>IF(RIGHT(TEXT($I12,"0.#"),1)=".",FALSE,TRUE)</formula>
    </cfRule>
    <cfRule type="expression" dxfId="50" priority="10">
      <formula>IF(RIGHT(TEXT($I12,"0.#"),1)=".",TRUE,FALSE)</formula>
    </cfRule>
  </conditionalFormatting>
  <conditionalFormatting sqref="I14">
    <cfRule type="expression" dxfId="49" priority="7">
      <formula>IF(RIGHT(TEXT($I14,"0.#"),1)=".",FALSE,TRUE)</formula>
    </cfRule>
    <cfRule type="expression" dxfId="48" priority="8">
      <formula>IF(RIGHT(TEXT($I14,"0.#"),1)=".",TRUE,FALSE)</formula>
    </cfRule>
  </conditionalFormatting>
  <conditionalFormatting sqref="I24">
    <cfRule type="expression" dxfId="47" priority="5">
      <formula>IF(RIGHT(TEXT($I24,"0.#"),1)=".",FALSE,TRUE)</formula>
    </cfRule>
    <cfRule type="expression" dxfId="46" priority="6">
      <formula>IF(RIGHT(TEXT($I24,"0.#"),1)=".",TRUE,FALSE)</formula>
    </cfRule>
  </conditionalFormatting>
  <conditionalFormatting sqref="I22">
    <cfRule type="expression" dxfId="45" priority="3">
      <formula>IF(RIGHT(TEXT($I22,"0.#"),1)=".",FALSE,TRUE)</formula>
    </cfRule>
    <cfRule type="expression" dxfId="44" priority="4">
      <formula>IF(RIGHT(TEXT($I22,"0.#"),1)=".",TRUE,FALSE)</formula>
    </cfRule>
  </conditionalFormatting>
  <conditionalFormatting sqref="I18">
    <cfRule type="expression" dxfId="43" priority="1">
      <formula>IF(RIGHT(TEXT($I18,"0.#"),1)=".",FALSE,TRUE)</formula>
    </cfRule>
    <cfRule type="expression" dxfId="42" priority="2">
      <formula>IF(RIGHT(TEXT($I18,"0.#"),1)=".",TRUE,FALSE)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71"/>
  <sheetViews>
    <sheetView view="pageBreakPreview" zoomScale="85" zoomScaleNormal="85" zoomScaleSheetLayoutView="85" workbookViewId="0">
      <selection activeCell="M12" sqref="M12"/>
    </sheetView>
  </sheetViews>
  <sheetFormatPr defaultColWidth="9" defaultRowHeight="13"/>
  <cols>
    <col min="1" max="1" width="1.26953125" style="122" customWidth="1"/>
    <col min="2" max="2" width="13.90625" style="122" bestFit="1" customWidth="1"/>
    <col min="3" max="3" width="14" style="122" customWidth="1"/>
    <col min="4" max="5" width="9" style="122"/>
    <col min="6" max="8" width="9" style="122" customWidth="1"/>
    <col min="9" max="9" width="15" style="6" customWidth="1"/>
    <col min="10" max="16384" width="9" style="122"/>
  </cols>
  <sheetData>
    <row r="1" spans="2:10" ht="18.75" customHeight="1">
      <c r="G1" s="233" t="s">
        <v>38</v>
      </c>
      <c r="H1" s="233"/>
      <c r="I1" s="233"/>
    </row>
    <row r="2" spans="2:10" ht="40.5" customHeight="1">
      <c r="B2" s="234" t="s">
        <v>327</v>
      </c>
      <c r="C2" s="234"/>
      <c r="D2" s="234"/>
      <c r="E2" s="234"/>
      <c r="F2" s="234"/>
      <c r="G2" s="234"/>
      <c r="H2" s="234"/>
      <c r="I2" s="234"/>
    </row>
    <row r="3" spans="2:10" ht="18.75" customHeight="1">
      <c r="B3" s="118"/>
      <c r="C3" s="118"/>
      <c r="D3" s="118"/>
      <c r="E3" s="118"/>
      <c r="F3" s="118"/>
      <c r="G3" s="118"/>
      <c r="H3" s="118"/>
      <c r="I3" s="4"/>
    </row>
    <row r="4" spans="2:10" ht="18.75" customHeight="1">
      <c r="B4" s="9" t="s">
        <v>32</v>
      </c>
      <c r="C4" s="237"/>
      <c r="D4" s="237"/>
      <c r="E4" s="10"/>
      <c r="F4" s="10"/>
      <c r="G4" s="10"/>
      <c r="H4" s="10"/>
      <c r="I4" s="10"/>
    </row>
    <row r="5" spans="2:10" ht="18.75" customHeight="1">
      <c r="B5" s="9" t="s">
        <v>30</v>
      </c>
      <c r="C5" s="236"/>
      <c r="D5" s="236"/>
      <c r="E5" s="236"/>
      <c r="F5" s="121"/>
      <c r="G5" s="121"/>
      <c r="H5" s="121"/>
      <c r="I5" s="121"/>
    </row>
    <row r="6" spans="2:10" ht="18.75" customHeight="1">
      <c r="B6" s="9" t="s">
        <v>29</v>
      </c>
      <c r="C6" s="235" t="s">
        <v>361</v>
      </c>
      <c r="D6" s="235"/>
      <c r="E6" s="235"/>
      <c r="F6" s="235"/>
      <c r="I6" s="122"/>
      <c r="J6" s="121"/>
    </row>
    <row r="7" spans="2:10" ht="18.75" customHeight="1">
      <c r="B7" s="9" t="s">
        <v>65</v>
      </c>
      <c r="C7" s="264"/>
      <c r="D7" s="264"/>
      <c r="E7" s="264"/>
      <c r="F7" s="264"/>
      <c r="G7" s="264"/>
      <c r="H7" s="264"/>
      <c r="I7" s="264"/>
      <c r="J7" s="123"/>
    </row>
    <row r="8" spans="2:10" ht="18.75" customHeight="1" thickBot="1">
      <c r="B8" s="9"/>
      <c r="I8" s="122"/>
      <c r="J8" s="123"/>
    </row>
    <row r="9" spans="2:10" ht="18.75" customHeight="1" thickBot="1">
      <c r="C9" s="228" t="s">
        <v>27</v>
      </c>
      <c r="D9" s="228"/>
      <c r="E9" s="228"/>
      <c r="F9" s="228"/>
      <c r="G9" s="228"/>
      <c r="H9" s="228"/>
      <c r="I9" s="14" t="str">
        <f>IF(C7="","",'DB（削除禁止）'!DI4)</f>
        <v/>
      </c>
    </row>
    <row r="10" spans="2:10" ht="18.75" customHeight="1" thickBot="1"/>
    <row r="11" spans="2:10" ht="18.75" customHeight="1" thickBot="1">
      <c r="C11" s="228" t="s">
        <v>408</v>
      </c>
      <c r="D11" s="228"/>
      <c r="E11" s="228"/>
      <c r="F11" s="228"/>
      <c r="G11" s="228"/>
      <c r="H11" s="228"/>
      <c r="I11" s="142"/>
    </row>
    <row r="12" spans="2:10" ht="18.75" customHeight="1" thickBot="1"/>
    <row r="13" spans="2:10" ht="18.75" customHeight="1" thickBot="1">
      <c r="C13" s="228" t="s">
        <v>40</v>
      </c>
      <c r="D13" s="228"/>
      <c r="E13" s="228"/>
      <c r="F13" s="228"/>
      <c r="G13" s="228"/>
      <c r="H13" s="228"/>
      <c r="I13" s="143" t="str">
        <f>IF(I11="","",MIN(I9,I11))</f>
        <v/>
      </c>
    </row>
    <row r="14" spans="2:10" ht="18.75" customHeight="1" thickBot="1">
      <c r="I14" s="122"/>
    </row>
    <row r="15" spans="2:10" ht="18.75" customHeight="1" thickBot="1">
      <c r="C15" s="228" t="s">
        <v>41</v>
      </c>
      <c r="D15" s="228"/>
      <c r="E15" s="228"/>
      <c r="F15" s="228"/>
      <c r="G15" s="228"/>
      <c r="H15" s="228"/>
      <c r="I15" s="8"/>
    </row>
    <row r="16" spans="2:10" ht="18.75" customHeight="1" thickBot="1"/>
    <row r="17" spans="1:10" ht="18.75" customHeight="1" thickBot="1">
      <c r="C17" s="240" t="s">
        <v>102</v>
      </c>
      <c r="D17" s="240"/>
      <c r="E17" s="240"/>
      <c r="F17" s="240"/>
      <c r="G17" s="240"/>
      <c r="H17" s="146" t="s">
        <v>42</v>
      </c>
      <c r="I17" s="106" t="e">
        <f>ROUND(I13*I15,2)</f>
        <v>#VALUE!</v>
      </c>
    </row>
    <row r="18" spans="1:10" ht="18.75" customHeight="1" thickBot="1"/>
    <row r="19" spans="1:10" ht="18.75" customHeight="1" thickBot="1">
      <c r="C19" s="240" t="s">
        <v>133</v>
      </c>
      <c r="D19" s="240"/>
      <c r="E19" s="240"/>
      <c r="F19" s="240"/>
      <c r="G19" s="240"/>
      <c r="H19" s="241"/>
      <c r="I19" s="14" t="str">
        <f>IF(C7="","",VLOOKUP(C7,'DB（削除禁止）'!$DH$4:$DJ$8,3,FALSE))</f>
        <v/>
      </c>
    </row>
    <row r="20" spans="1:10" ht="18.75" customHeight="1" thickBot="1"/>
    <row r="21" spans="1:10" ht="18.75" customHeight="1" thickBot="1">
      <c r="C21" s="240" t="s">
        <v>166</v>
      </c>
      <c r="D21" s="240"/>
      <c r="E21" s="240"/>
      <c r="F21" s="240"/>
      <c r="G21" s="240"/>
      <c r="H21" s="241"/>
      <c r="I21" s="144"/>
    </row>
    <row r="22" spans="1:10" ht="18.75" customHeight="1" thickBot="1"/>
    <row r="23" spans="1:10" ht="18.75" customHeight="1" thickBot="1">
      <c r="C23" s="240" t="s">
        <v>100</v>
      </c>
      <c r="D23" s="240"/>
      <c r="E23" s="240"/>
      <c r="F23" s="240"/>
      <c r="G23" s="240"/>
      <c r="H23" s="146" t="s">
        <v>43</v>
      </c>
      <c r="I23" s="106" t="str">
        <f>IF(I21="","",MIN(I19,I21))</f>
        <v/>
      </c>
    </row>
    <row r="24" spans="1:10" ht="18.75" customHeight="1" thickBot="1"/>
    <row r="25" spans="1:10" ht="18.75" customHeight="1" thickBot="1">
      <c r="C25" s="240" t="s">
        <v>107</v>
      </c>
      <c r="D25" s="240"/>
      <c r="E25" s="240"/>
      <c r="F25" s="240"/>
      <c r="G25" s="240"/>
      <c r="H25" s="146" t="s">
        <v>33</v>
      </c>
      <c r="I25" s="145" t="e">
        <f>ROUND(I17*I23,0)</f>
        <v>#VALUE!</v>
      </c>
    </row>
    <row r="26" spans="1:10" ht="18.75" customHeight="1">
      <c r="B26" s="229"/>
      <c r="C26" s="229"/>
      <c r="D26" s="229"/>
      <c r="E26" s="229"/>
      <c r="F26" s="229"/>
    </row>
    <row r="27" spans="1:10" ht="18.75" customHeight="1">
      <c r="B27" s="117"/>
      <c r="C27" s="117"/>
      <c r="D27" s="117"/>
      <c r="E27" s="117"/>
      <c r="F27" s="117"/>
    </row>
    <row r="28" spans="1:10" ht="18.75" customHeight="1">
      <c r="B28" s="238" t="s">
        <v>300</v>
      </c>
      <c r="C28" s="238"/>
      <c r="D28" s="238"/>
      <c r="E28" s="238"/>
      <c r="F28" s="238"/>
      <c r="G28" s="238"/>
      <c r="H28" s="238"/>
      <c r="I28" s="238"/>
      <c r="J28" s="118"/>
    </row>
    <row r="29" spans="1:10" ht="18.75" customHeight="1">
      <c r="A29" s="122" t="s">
        <v>34</v>
      </c>
      <c r="B29" s="238" t="s">
        <v>138</v>
      </c>
      <c r="C29" s="238"/>
      <c r="D29" s="238"/>
      <c r="E29" s="238"/>
      <c r="F29" s="238"/>
      <c r="G29" s="238"/>
      <c r="H29" s="238"/>
      <c r="I29" s="238"/>
      <c r="J29" s="118"/>
    </row>
    <row r="30" spans="1:10" ht="18.75" customHeight="1">
      <c r="B30" s="118"/>
      <c r="C30" s="118"/>
      <c r="D30" s="118"/>
      <c r="E30" s="118"/>
      <c r="F30" s="118"/>
      <c r="G30" s="118"/>
      <c r="H30" s="118"/>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C7:I7"/>
    <mergeCell ref="C21:H21"/>
    <mergeCell ref="G1:I1"/>
    <mergeCell ref="B26:F26"/>
    <mergeCell ref="B28:I28"/>
    <mergeCell ref="B2:I2"/>
    <mergeCell ref="C4:D4"/>
    <mergeCell ref="C5:E5"/>
    <mergeCell ref="C6:F6"/>
    <mergeCell ref="B29:I29"/>
    <mergeCell ref="C9:H9"/>
    <mergeCell ref="C11:H11"/>
    <mergeCell ref="C13:H13"/>
    <mergeCell ref="C15:H15"/>
    <mergeCell ref="C17:G17"/>
    <mergeCell ref="C19:H19"/>
    <mergeCell ref="C23:G23"/>
    <mergeCell ref="C25:G25"/>
  </mergeCells>
  <phoneticPr fontId="1"/>
  <conditionalFormatting sqref="I11">
    <cfRule type="expression" dxfId="41" priority="9">
      <formula>IF(RIGHT(TEXT($I11,"0.#"),1)=".",FALSE,TRUE)</formula>
    </cfRule>
    <cfRule type="expression" dxfId="40" priority="10">
      <formula>IF(RIGHT(TEXT($I11,"0.#"),1)=".",TRUE,FALSE)</formula>
    </cfRule>
  </conditionalFormatting>
  <conditionalFormatting sqref="I13">
    <cfRule type="expression" dxfId="39" priority="7">
      <formula>IF(RIGHT(TEXT($I13,"0.#"),1)=".",FALSE,TRUE)</formula>
    </cfRule>
    <cfRule type="expression" dxfId="38" priority="8">
      <formula>IF(RIGHT(TEXT($I13,"0.#"),1)=".",TRUE,FALSE)</formula>
    </cfRule>
  </conditionalFormatting>
  <conditionalFormatting sqref="I17">
    <cfRule type="expression" dxfId="37" priority="5">
      <formula>IF(RIGHT(TEXT($I17,"0.#"),1)=".",FALSE,TRUE)</formula>
    </cfRule>
    <cfRule type="expression" dxfId="36" priority="6">
      <formula>IF(RIGHT(TEXT($I17,"0.#"),1)=".",TRUE,FALSE)</formula>
    </cfRule>
  </conditionalFormatting>
  <conditionalFormatting sqref="I21">
    <cfRule type="expression" dxfId="35" priority="3">
      <formula>IF(RIGHT(TEXT($I21,"0.#"),1)=".",FALSE,TRUE)</formula>
    </cfRule>
    <cfRule type="expression" dxfId="34" priority="4">
      <formula>IF(RIGHT(TEXT($I23,"0.#"),1)=".",TRUE,FALSE)</formula>
    </cfRule>
  </conditionalFormatting>
  <conditionalFormatting sqref="I23">
    <cfRule type="expression" dxfId="33" priority="1">
      <formula>IF(RIGHT(TEXT($I23,"0.#"),1)=".",FALSE,TRUE)</formula>
    </cfRule>
    <cfRule type="expression" dxfId="32"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'DB（削除禁止）'!$DH$4:$DH$8</xm:f>
          </x14:formula1>
          <xm:sqref>C7</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85" zoomScaleNormal="85" zoomScaleSheetLayoutView="85" workbookViewId="0">
      <selection activeCell="C5" sqref="C5:E5"/>
    </sheetView>
  </sheetViews>
  <sheetFormatPr defaultColWidth="9" defaultRowHeight="13"/>
  <cols>
    <col min="1" max="1" width="1.26953125" style="122" customWidth="1"/>
    <col min="2" max="2" width="13.90625" style="122" bestFit="1" customWidth="1"/>
    <col min="3" max="3" width="14" style="122" customWidth="1"/>
    <col min="4" max="8" width="9" style="122" customWidth="1"/>
    <col min="9" max="9" width="15" style="6" customWidth="1"/>
    <col min="10" max="16384" width="9" style="122"/>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118"/>
      <c r="C3" s="118"/>
      <c r="D3" s="118"/>
      <c r="E3" s="118"/>
      <c r="F3" s="118"/>
      <c r="G3" s="118"/>
      <c r="H3" s="118"/>
      <c r="I3" s="4"/>
    </row>
    <row r="4" spans="2:9" ht="18.75" customHeight="1">
      <c r="B4" s="9" t="s">
        <v>32</v>
      </c>
      <c r="C4" s="237"/>
      <c r="D4" s="237"/>
      <c r="E4" s="10"/>
      <c r="F4" s="10"/>
      <c r="G4" s="10"/>
      <c r="H4" s="10"/>
      <c r="I4" s="10"/>
    </row>
    <row r="5" spans="2:9" ht="18.75" customHeight="1">
      <c r="B5" s="9" t="s">
        <v>30</v>
      </c>
      <c r="C5" s="236"/>
      <c r="D5" s="236"/>
      <c r="E5" s="236"/>
      <c r="F5" s="121"/>
      <c r="G5" s="121"/>
      <c r="H5" s="121"/>
      <c r="I5" s="121"/>
    </row>
    <row r="6" spans="2:9" ht="18.75" customHeight="1">
      <c r="B6" s="9" t="s">
        <v>29</v>
      </c>
      <c r="C6" s="235" t="s">
        <v>362</v>
      </c>
      <c r="D6" s="235"/>
      <c r="E6" s="235"/>
      <c r="F6" s="235"/>
      <c r="G6" s="235"/>
      <c r="H6" s="235"/>
      <c r="I6" s="235"/>
    </row>
    <row r="7" spans="2:9" ht="18.75" customHeight="1">
      <c r="B7" s="9" t="s">
        <v>65</v>
      </c>
      <c r="C7" s="263"/>
      <c r="D7" s="263"/>
      <c r="E7" s="263"/>
      <c r="F7" s="263"/>
      <c r="G7" s="121"/>
      <c r="H7" s="121"/>
      <c r="I7" s="121"/>
    </row>
    <row r="8" spans="2:9" ht="18.75" customHeight="1" thickBot="1"/>
    <row r="9" spans="2:9" ht="18.75" customHeight="1" thickBot="1">
      <c r="C9" s="240" t="s">
        <v>35</v>
      </c>
      <c r="D9" s="240"/>
      <c r="E9" s="240"/>
      <c r="F9" s="240"/>
      <c r="G9" s="240"/>
      <c r="H9" s="146" t="s">
        <v>43</v>
      </c>
      <c r="I9" s="14" t="str">
        <f>IF(C7="","",VLOOKUP(C7,'DB（削除禁止）'!$DN$4:$DO$19,2,FALSE))</f>
        <v/>
      </c>
    </row>
    <row r="10" spans="2:9" ht="18.75" customHeight="1" thickBot="1"/>
    <row r="11" spans="2:9" ht="18.75" customHeight="1" thickBot="1">
      <c r="C11" s="240" t="s">
        <v>335</v>
      </c>
      <c r="D11" s="240"/>
      <c r="E11" s="240"/>
      <c r="F11" s="240"/>
      <c r="G11" s="240"/>
      <c r="H11" s="159" t="s">
        <v>334</v>
      </c>
      <c r="I11" s="8"/>
    </row>
    <row r="12" spans="2:9" ht="18.75" customHeight="1" thickBot="1"/>
    <row r="13" spans="2:9" ht="18.75" customHeight="1" thickBot="1">
      <c r="C13" s="228" t="s">
        <v>336</v>
      </c>
      <c r="D13" s="228"/>
      <c r="E13" s="228"/>
      <c r="F13" s="228"/>
      <c r="G13" s="228"/>
      <c r="H13" s="146" t="s">
        <v>33</v>
      </c>
      <c r="I13" s="143" t="e">
        <f>ROUND(I9*I11,0)</f>
        <v>#VALUE!</v>
      </c>
    </row>
    <row r="14" spans="2:9" ht="18.75" customHeight="1"/>
    <row r="15" spans="2:9" ht="18.75" customHeight="1">
      <c r="B15" s="118"/>
      <c r="C15" s="118"/>
      <c r="D15" s="118"/>
      <c r="E15" s="118"/>
      <c r="F15" s="118"/>
    </row>
    <row r="16" spans="2:9" ht="18.75" customHeight="1">
      <c r="B16" s="238" t="s">
        <v>44</v>
      </c>
      <c r="C16" s="238"/>
      <c r="D16" s="238"/>
      <c r="E16" s="238"/>
      <c r="F16" s="238"/>
      <c r="G16" s="238"/>
      <c r="H16" s="238"/>
      <c r="I16" s="238"/>
    </row>
    <row r="17" spans="1:9" ht="18.75" customHeight="1">
      <c r="A17" s="122" t="s">
        <v>34</v>
      </c>
      <c r="B17" s="238" t="s">
        <v>39</v>
      </c>
      <c r="C17" s="238"/>
      <c r="D17" s="238"/>
      <c r="E17" s="238"/>
      <c r="F17" s="238"/>
      <c r="G17" s="238"/>
      <c r="H17" s="238"/>
      <c r="I17" s="238"/>
    </row>
    <row r="18" spans="1:9" ht="18.75" customHeight="1">
      <c r="B18" s="118"/>
      <c r="C18" s="118"/>
      <c r="D18" s="118"/>
      <c r="E18" s="118"/>
      <c r="F18" s="118"/>
      <c r="G18" s="118"/>
      <c r="H18" s="118"/>
      <c r="I18" s="4"/>
    </row>
    <row r="19" spans="1:9" ht="18.75" customHeight="1"/>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sheetData>
  <mergeCells count="11">
    <mergeCell ref="C13:G13"/>
    <mergeCell ref="B16:I16"/>
    <mergeCell ref="B17:I17"/>
    <mergeCell ref="C7:F7"/>
    <mergeCell ref="C9:G9"/>
    <mergeCell ref="C11:G11"/>
    <mergeCell ref="G1:I1"/>
    <mergeCell ref="B2:I2"/>
    <mergeCell ref="C4:D4"/>
    <mergeCell ref="C5:E5"/>
    <mergeCell ref="C6:I6"/>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'DB（削除禁止）'!$DN$4:$DN$19</xm:f>
          </x14:formula1>
          <xm:sqref>C7</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60"/>
  <sheetViews>
    <sheetView view="pageBreakPreview" zoomScale="85" zoomScaleNormal="85" zoomScaleSheetLayoutView="85" workbookViewId="0">
      <selection activeCell="C5" sqref="C5:E5"/>
    </sheetView>
  </sheetViews>
  <sheetFormatPr defaultColWidth="9" defaultRowHeight="13"/>
  <cols>
    <col min="1" max="1" width="1.26953125" style="122" customWidth="1"/>
    <col min="2" max="2" width="13.90625" style="122" bestFit="1" customWidth="1"/>
    <col min="3" max="3" width="14" style="122" customWidth="1"/>
    <col min="4" max="8" width="9" style="122" customWidth="1"/>
    <col min="9" max="9" width="15" style="6" customWidth="1"/>
    <col min="10" max="16384" width="9" style="122"/>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118"/>
      <c r="C3" s="118"/>
      <c r="D3" s="118"/>
      <c r="E3" s="118"/>
      <c r="F3" s="118"/>
      <c r="G3" s="118"/>
      <c r="H3" s="118"/>
      <c r="I3" s="4"/>
    </row>
    <row r="4" spans="2:9" ht="18.75" customHeight="1">
      <c r="B4" s="9" t="s">
        <v>32</v>
      </c>
      <c r="C4" s="237"/>
      <c r="D4" s="237"/>
      <c r="E4" s="10"/>
      <c r="F4" s="10"/>
      <c r="G4" s="10"/>
      <c r="H4" s="10"/>
      <c r="I4" s="10"/>
    </row>
    <row r="5" spans="2:9" ht="18.75" customHeight="1">
      <c r="B5" s="9" t="s">
        <v>30</v>
      </c>
      <c r="C5" s="236"/>
      <c r="D5" s="236"/>
      <c r="E5" s="236"/>
      <c r="F5" s="121"/>
      <c r="G5" s="121"/>
      <c r="H5" s="121"/>
      <c r="I5" s="121"/>
    </row>
    <row r="6" spans="2:9" ht="18.75" customHeight="1">
      <c r="B6" s="9" t="s">
        <v>29</v>
      </c>
      <c r="C6" s="235" t="s">
        <v>363</v>
      </c>
      <c r="D6" s="235"/>
      <c r="E6" s="235"/>
      <c r="F6" s="235"/>
      <c r="G6" s="235"/>
      <c r="H6" s="235"/>
      <c r="I6" s="235"/>
    </row>
    <row r="7" spans="2:9" ht="18.75" customHeight="1" thickBot="1"/>
    <row r="8" spans="2:9" ht="18.75" customHeight="1" thickBot="1">
      <c r="C8" s="240" t="s">
        <v>35</v>
      </c>
      <c r="D8" s="240"/>
      <c r="E8" s="240"/>
      <c r="F8" s="240"/>
      <c r="G8" s="240"/>
      <c r="H8" s="146" t="s">
        <v>43</v>
      </c>
      <c r="I8" s="14">
        <f>'DB（削除禁止）'!DS4</f>
        <v>45800</v>
      </c>
    </row>
    <row r="9" spans="2:9" ht="18.75" customHeight="1" thickBot="1"/>
    <row r="10" spans="2:9" ht="18.75" customHeight="1" thickBot="1">
      <c r="C10" s="240" t="s">
        <v>299</v>
      </c>
      <c r="D10" s="240"/>
      <c r="E10" s="240"/>
      <c r="F10" s="240"/>
      <c r="G10" s="240"/>
      <c r="H10" s="241"/>
      <c r="I10" s="142"/>
    </row>
    <row r="11" spans="2:9" ht="18.75" customHeight="1" thickBot="1"/>
    <row r="12" spans="2:9" ht="18.75" customHeight="1" thickBot="1">
      <c r="C12" s="240" t="s">
        <v>37</v>
      </c>
      <c r="D12" s="240"/>
      <c r="E12" s="240"/>
      <c r="F12" s="240"/>
      <c r="G12" s="240"/>
      <c r="H12" s="159" t="s">
        <v>334</v>
      </c>
      <c r="I12" s="8"/>
    </row>
    <row r="13" spans="2:9" ht="18.75" customHeight="1" thickBot="1"/>
    <row r="14" spans="2:9" ht="18.75" customHeight="1" thickBot="1">
      <c r="C14" s="228" t="s">
        <v>104</v>
      </c>
      <c r="D14" s="228"/>
      <c r="E14" s="228"/>
      <c r="F14" s="228"/>
      <c r="G14" s="228"/>
      <c r="H14" s="146" t="s">
        <v>33</v>
      </c>
      <c r="I14" s="143">
        <f>ROUND(I8*I10*I12,0)</f>
        <v>0</v>
      </c>
    </row>
    <row r="15" spans="2:9" ht="18.75" customHeight="1"/>
    <row r="16" spans="2:9" ht="18.75" customHeight="1">
      <c r="B16" s="118"/>
      <c r="C16" s="118"/>
      <c r="D16" s="118"/>
      <c r="E16" s="118"/>
      <c r="F16" s="118"/>
    </row>
    <row r="17" spans="1:9" ht="18.75" customHeight="1">
      <c r="B17" s="238" t="s">
        <v>301</v>
      </c>
      <c r="C17" s="238"/>
      <c r="D17" s="238"/>
      <c r="E17" s="238"/>
      <c r="F17" s="238"/>
      <c r="G17" s="238"/>
      <c r="H17" s="238"/>
      <c r="I17" s="238"/>
    </row>
    <row r="18" spans="1:9" ht="18.75" customHeight="1">
      <c r="A18" s="122" t="s">
        <v>34</v>
      </c>
      <c r="B18" s="238" t="s">
        <v>302</v>
      </c>
      <c r="C18" s="238"/>
      <c r="D18" s="238"/>
      <c r="E18" s="238"/>
      <c r="F18" s="238"/>
      <c r="G18" s="238"/>
      <c r="H18" s="238"/>
      <c r="I18" s="238"/>
    </row>
    <row r="19" spans="1:9" ht="18.75" customHeight="1">
      <c r="B19" s="118"/>
      <c r="C19" s="118"/>
      <c r="D19" s="118"/>
      <c r="E19" s="118"/>
      <c r="F19" s="118"/>
      <c r="G19" s="118"/>
      <c r="H19" s="118"/>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C10:H10"/>
    <mergeCell ref="C14:G14"/>
    <mergeCell ref="B17:I17"/>
    <mergeCell ref="B18:I18"/>
    <mergeCell ref="C12:G12"/>
    <mergeCell ref="C8:G8"/>
    <mergeCell ref="G1:I1"/>
    <mergeCell ref="B2:I2"/>
    <mergeCell ref="C4:D4"/>
    <mergeCell ref="C5:E5"/>
    <mergeCell ref="C6:I6"/>
  </mergeCells>
  <phoneticPr fontId="1"/>
  <conditionalFormatting sqref="I10">
    <cfRule type="expression" dxfId="31" priority="1">
      <formula>IF(RIGHT(TEXT($I10,"0.#"),1)=".",FALSE,TRUE)</formula>
    </cfRule>
    <cfRule type="expression" dxfId="30" priority="2">
      <formula>IF(RIGHT(TEXT($I10,"0.#"),1)=".",TRUE,FALSE)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I70"/>
  <sheetViews>
    <sheetView view="pageBreakPreview" zoomScale="85" zoomScaleNormal="85" zoomScaleSheetLayoutView="85" workbookViewId="0">
      <selection activeCell="C5" sqref="C5:E5"/>
    </sheetView>
  </sheetViews>
  <sheetFormatPr defaultColWidth="9" defaultRowHeight="13"/>
  <cols>
    <col min="1" max="1" width="1.26953125" style="122" customWidth="1"/>
    <col min="2" max="2" width="13.90625" style="122" bestFit="1" customWidth="1"/>
    <col min="3" max="3" width="14" style="122" customWidth="1"/>
    <col min="4" max="8" width="9" style="122" customWidth="1"/>
    <col min="9" max="9" width="15" style="6" customWidth="1"/>
    <col min="10" max="16384" width="9" style="122"/>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118"/>
      <c r="C3" s="118"/>
      <c r="D3" s="118"/>
      <c r="E3" s="118"/>
      <c r="F3" s="118"/>
      <c r="G3" s="118"/>
      <c r="H3" s="118"/>
      <c r="I3" s="4"/>
    </row>
    <row r="4" spans="2:9" ht="18.75" customHeight="1">
      <c r="B4" s="9" t="s">
        <v>32</v>
      </c>
      <c r="C4" s="237"/>
      <c r="D4" s="237"/>
      <c r="E4" s="10"/>
      <c r="F4" s="10"/>
      <c r="G4" s="10"/>
      <c r="H4" s="10"/>
      <c r="I4" s="10"/>
    </row>
    <row r="5" spans="2:9" ht="18.75" customHeight="1">
      <c r="B5" s="9" t="s">
        <v>30</v>
      </c>
      <c r="C5" s="236"/>
      <c r="D5" s="236"/>
      <c r="E5" s="236"/>
      <c r="F5" s="121"/>
      <c r="G5" s="121"/>
      <c r="H5" s="121"/>
      <c r="I5" s="121"/>
    </row>
    <row r="6" spans="2:9" ht="18.75" customHeight="1">
      <c r="B6" s="9" t="s">
        <v>29</v>
      </c>
      <c r="C6" s="235" t="s">
        <v>364</v>
      </c>
      <c r="D6" s="235"/>
      <c r="E6" s="235"/>
      <c r="F6" s="235"/>
      <c r="G6" s="235"/>
      <c r="H6" s="235"/>
      <c r="I6" s="235"/>
    </row>
    <row r="7" spans="2:9" ht="18.75" customHeight="1" thickBot="1"/>
    <row r="8" spans="2:9" ht="18.75" customHeight="1" thickBot="1">
      <c r="C8" s="228" t="s">
        <v>27</v>
      </c>
      <c r="D8" s="228"/>
      <c r="E8" s="228"/>
      <c r="F8" s="228"/>
      <c r="G8" s="228"/>
      <c r="H8" s="228"/>
      <c r="I8" s="14">
        <f>'DB（削除禁止）'!DW4</f>
        <v>80</v>
      </c>
    </row>
    <row r="9" spans="2:9" ht="18.75" customHeight="1" thickBot="1"/>
    <row r="10" spans="2:9" ht="18.75" customHeight="1" thickBot="1">
      <c r="C10" s="228" t="s">
        <v>28</v>
      </c>
      <c r="D10" s="228"/>
      <c r="E10" s="228"/>
      <c r="F10" s="228"/>
      <c r="G10" s="228"/>
      <c r="H10" s="228"/>
      <c r="I10" s="142"/>
    </row>
    <row r="11" spans="2:9" ht="18.75" customHeight="1" thickBot="1"/>
    <row r="12" spans="2:9" ht="18.75" customHeight="1" thickBot="1">
      <c r="C12" s="228" t="s">
        <v>40</v>
      </c>
      <c r="D12" s="228"/>
      <c r="E12" s="228"/>
      <c r="F12" s="228"/>
      <c r="G12" s="228"/>
      <c r="H12" s="228"/>
      <c r="I12" s="143" t="str">
        <f>IF(I10="","",MIN(I8,I10))</f>
        <v/>
      </c>
    </row>
    <row r="13" spans="2:9" ht="18.75" customHeight="1" thickBot="1">
      <c r="I13" s="122"/>
    </row>
    <row r="14" spans="2:9" ht="18.75" customHeight="1" thickBot="1">
      <c r="C14" s="228" t="s">
        <v>41</v>
      </c>
      <c r="D14" s="228"/>
      <c r="E14" s="228"/>
      <c r="F14" s="228"/>
      <c r="G14" s="228"/>
      <c r="H14" s="228"/>
      <c r="I14" s="8"/>
    </row>
    <row r="15" spans="2:9" ht="18.75" customHeight="1" thickBot="1"/>
    <row r="16" spans="2:9" ht="18.75" customHeight="1" thickBot="1">
      <c r="C16" s="240" t="s">
        <v>108</v>
      </c>
      <c r="D16" s="240"/>
      <c r="E16" s="240"/>
      <c r="F16" s="240"/>
      <c r="G16" s="240"/>
      <c r="H16" s="146" t="s">
        <v>42</v>
      </c>
      <c r="I16" s="143" t="e">
        <f>ROUND(I12*I14,2)</f>
        <v>#VALUE!</v>
      </c>
    </row>
    <row r="17" spans="1:9" ht="18.75" customHeight="1" thickBot="1"/>
    <row r="18" spans="1:9" ht="18.75" customHeight="1" thickBot="1">
      <c r="C18" s="228" t="s">
        <v>98</v>
      </c>
      <c r="D18" s="228"/>
      <c r="E18" s="228"/>
      <c r="F18" s="228"/>
      <c r="G18" s="228"/>
      <c r="H18" s="228"/>
      <c r="I18" s="14">
        <f>'DB別表3（削除禁止）'!F70</f>
        <v>250000</v>
      </c>
    </row>
    <row r="19" spans="1:9" ht="18.75" customHeight="1" thickBot="1"/>
    <row r="20" spans="1:9" ht="18.75" customHeight="1" thickBot="1">
      <c r="C20" s="228" t="s">
        <v>99</v>
      </c>
      <c r="D20" s="228"/>
      <c r="E20" s="228"/>
      <c r="F20" s="228"/>
      <c r="G20" s="228"/>
      <c r="H20" s="228"/>
      <c r="I20" s="142"/>
    </row>
    <row r="21" spans="1:9" ht="18.75" customHeight="1" thickBot="1"/>
    <row r="22" spans="1:9" ht="18.75" customHeight="1" thickBot="1">
      <c r="C22" s="228" t="s">
        <v>100</v>
      </c>
      <c r="D22" s="228"/>
      <c r="E22" s="228"/>
      <c r="F22" s="228"/>
      <c r="G22" s="228"/>
      <c r="H22" s="146" t="s">
        <v>43</v>
      </c>
      <c r="I22" s="143" t="str">
        <f>IF(OR(I18="",I20=""),"",MIN(I18,I20))</f>
        <v/>
      </c>
    </row>
    <row r="23" spans="1:9" ht="18.75" customHeight="1" thickBot="1"/>
    <row r="24" spans="1:9" ht="18.75" customHeight="1" thickBot="1">
      <c r="C24" s="240" t="s">
        <v>107</v>
      </c>
      <c r="D24" s="240"/>
      <c r="E24" s="240"/>
      <c r="F24" s="240"/>
      <c r="G24" s="240"/>
      <c r="H24" s="146" t="s">
        <v>33</v>
      </c>
      <c r="I24" s="145" t="e">
        <f>ROUND(I16*I22,0)</f>
        <v>#VALUE!</v>
      </c>
    </row>
    <row r="25" spans="1:9" ht="18.75" customHeight="1">
      <c r="B25" s="229"/>
      <c r="C25" s="229"/>
      <c r="D25" s="229"/>
      <c r="E25" s="229"/>
      <c r="F25" s="117"/>
    </row>
    <row r="26" spans="1:9" ht="18.75" customHeight="1">
      <c r="B26" s="117"/>
      <c r="C26" s="117"/>
      <c r="D26" s="117"/>
      <c r="E26" s="117"/>
      <c r="F26" s="117"/>
    </row>
    <row r="27" spans="1:9" ht="18.75" customHeight="1">
      <c r="B27" s="238" t="s">
        <v>137</v>
      </c>
      <c r="C27" s="238"/>
      <c r="D27" s="238"/>
      <c r="E27" s="238"/>
      <c r="F27" s="238"/>
      <c r="G27" s="238"/>
      <c r="H27" s="238"/>
      <c r="I27" s="238"/>
    </row>
    <row r="28" spans="1:9" ht="18.75" customHeight="1">
      <c r="A28" s="122" t="s">
        <v>34</v>
      </c>
      <c r="B28" s="238" t="s">
        <v>138</v>
      </c>
      <c r="C28" s="238"/>
      <c r="D28" s="238"/>
      <c r="E28" s="238"/>
      <c r="F28" s="238"/>
      <c r="G28" s="238"/>
      <c r="H28" s="238"/>
      <c r="I28" s="238"/>
    </row>
    <row r="29" spans="1:9" ht="18.75" customHeight="1">
      <c r="B29" s="118"/>
      <c r="C29" s="118"/>
      <c r="D29" s="118"/>
      <c r="E29" s="118"/>
      <c r="F29" s="118"/>
      <c r="G29" s="118"/>
      <c r="H29" s="118"/>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2:G22"/>
    <mergeCell ref="C24:G24"/>
    <mergeCell ref="B25:E25"/>
    <mergeCell ref="B27:I27"/>
    <mergeCell ref="B28:I28"/>
    <mergeCell ref="C20:H20"/>
    <mergeCell ref="G1:I1"/>
    <mergeCell ref="B2:I2"/>
    <mergeCell ref="C4:D4"/>
    <mergeCell ref="C5:E5"/>
    <mergeCell ref="C6:I6"/>
    <mergeCell ref="C8:H8"/>
    <mergeCell ref="C10:H10"/>
    <mergeCell ref="C12:H12"/>
    <mergeCell ref="C14:H14"/>
    <mergeCell ref="C16:G16"/>
    <mergeCell ref="C18:H18"/>
  </mergeCells>
  <phoneticPr fontId="1"/>
  <conditionalFormatting sqref="I10">
    <cfRule type="expression" dxfId="29" priority="9">
      <formula>IF(RIGHT(TEXT($I10,"0.#"),1)=".",FALSE,TRUE)</formula>
    </cfRule>
    <cfRule type="expression" dxfId="28" priority="10">
      <formula>IF(RIGHT(TEXT($I10,"0.#"),1)=".",TRUE,FALSE)</formula>
    </cfRule>
  </conditionalFormatting>
  <conditionalFormatting sqref="I12">
    <cfRule type="expression" dxfId="27" priority="7">
      <formula>IF(RIGHT(TEXT($I12,"0.#"),1)=".",FALSE,TRUE)</formula>
    </cfRule>
    <cfRule type="expression" dxfId="26" priority="8">
      <formula>IF(RIGHT(TEXT($I12,"0.#"),1)=".",TRUE,FALSE)</formula>
    </cfRule>
  </conditionalFormatting>
  <conditionalFormatting sqref="I22">
    <cfRule type="expression" dxfId="25" priority="5">
      <formula>IF(RIGHT(TEXT($I22,"0.#"),1)=".",FALSE,TRUE)</formula>
    </cfRule>
    <cfRule type="expression" dxfId="24" priority="6">
      <formula>IF(RIGHT(TEXT($I22,"0.#"),1)=".",TRUE,FALSE)</formula>
    </cfRule>
  </conditionalFormatting>
  <conditionalFormatting sqref="I20">
    <cfRule type="expression" dxfId="23" priority="3">
      <formula>IF(RIGHT(TEXT($I20,"0.#"),1)=".",FALSE,TRUE)</formula>
    </cfRule>
    <cfRule type="expression" dxfId="22" priority="4">
      <formula>IF(RIGHT(TEXT($I20,"0.#"),1)=".",TRUE,FALSE)</formula>
    </cfRule>
  </conditionalFormatting>
  <conditionalFormatting sqref="I16">
    <cfRule type="expression" dxfId="21" priority="1">
      <formula>IF(RIGHT(TEXT($I16,"0.#"),1)=".",FALSE,TRUE)</formula>
    </cfRule>
    <cfRule type="expression" dxfId="2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I60"/>
  <sheetViews>
    <sheetView view="pageBreakPreview" zoomScale="85" zoomScaleNormal="85" zoomScaleSheetLayoutView="85" workbookViewId="0">
      <selection activeCell="C5" sqref="C5:E5"/>
    </sheetView>
  </sheetViews>
  <sheetFormatPr defaultColWidth="9" defaultRowHeight="13"/>
  <cols>
    <col min="1" max="1" width="1.26953125" style="122" customWidth="1"/>
    <col min="2" max="2" width="13.90625" style="122" bestFit="1" customWidth="1"/>
    <col min="3" max="3" width="14" style="122" customWidth="1"/>
    <col min="4" max="8" width="9" style="122" customWidth="1"/>
    <col min="9" max="9" width="15" style="6" customWidth="1"/>
    <col min="10" max="16384" width="9" style="122"/>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118"/>
      <c r="C3" s="118"/>
      <c r="D3" s="118"/>
      <c r="E3" s="118"/>
      <c r="F3" s="118"/>
      <c r="G3" s="118"/>
      <c r="H3" s="118"/>
      <c r="I3" s="4"/>
    </row>
    <row r="4" spans="2:9" ht="18.75" customHeight="1">
      <c r="B4" s="9" t="s">
        <v>32</v>
      </c>
      <c r="C4" s="237"/>
      <c r="D4" s="237"/>
      <c r="E4" s="10"/>
      <c r="F4" s="10"/>
      <c r="G4" s="10"/>
      <c r="H4" s="10"/>
      <c r="I4" s="10"/>
    </row>
    <row r="5" spans="2:9" ht="18.75" customHeight="1">
      <c r="B5" s="9" t="s">
        <v>30</v>
      </c>
      <c r="C5" s="236"/>
      <c r="D5" s="236"/>
      <c r="E5" s="236"/>
      <c r="F5" s="121"/>
      <c r="G5" s="121"/>
      <c r="H5" s="121"/>
      <c r="I5" s="121"/>
    </row>
    <row r="6" spans="2:9" ht="18.75" customHeight="1">
      <c r="B6" s="9" t="s">
        <v>29</v>
      </c>
      <c r="C6" s="235" t="s">
        <v>389</v>
      </c>
      <c r="D6" s="235"/>
      <c r="E6" s="235"/>
      <c r="F6" s="235"/>
      <c r="G6" s="235"/>
      <c r="H6" s="235"/>
      <c r="I6" s="235"/>
    </row>
    <row r="7" spans="2:9" ht="18.75" customHeight="1" thickBot="1"/>
    <row r="8" spans="2:9" ht="18.75" customHeight="1" thickBot="1">
      <c r="C8" s="240" t="s">
        <v>35</v>
      </c>
      <c r="D8" s="240"/>
      <c r="E8" s="240"/>
      <c r="F8" s="240"/>
      <c r="G8" s="240"/>
      <c r="H8" s="146" t="s">
        <v>43</v>
      </c>
      <c r="I8" s="14">
        <f>'DB（削除禁止）'!EA4</f>
        <v>96686000</v>
      </c>
    </row>
    <row r="9" spans="2:9" ht="18.75" customHeight="1" thickBot="1"/>
    <row r="10" spans="2:9" ht="18.75" customHeight="1" thickBot="1">
      <c r="C10" s="240" t="s">
        <v>36</v>
      </c>
      <c r="D10" s="240"/>
      <c r="E10" s="240"/>
      <c r="F10" s="240"/>
      <c r="G10" s="240"/>
      <c r="H10" s="241"/>
      <c r="I10" s="7"/>
    </row>
    <row r="11" spans="2:9" ht="18.75" customHeight="1" thickBot="1"/>
    <row r="12" spans="2:9" ht="18.75" customHeight="1" thickBot="1">
      <c r="C12" s="240" t="s">
        <v>37</v>
      </c>
      <c r="D12" s="240"/>
      <c r="E12" s="240"/>
      <c r="F12" s="240"/>
      <c r="G12" s="240"/>
      <c r="H12" s="159" t="s">
        <v>334</v>
      </c>
      <c r="I12" s="8"/>
    </row>
    <row r="13" spans="2:9" ht="18.75" customHeight="1" thickBot="1"/>
    <row r="14" spans="2:9" ht="18.75" customHeight="1" thickBot="1">
      <c r="C14" s="228" t="s">
        <v>104</v>
      </c>
      <c r="D14" s="228"/>
      <c r="E14" s="228"/>
      <c r="F14" s="228"/>
      <c r="G14" s="228"/>
      <c r="H14" s="146" t="s">
        <v>33</v>
      </c>
      <c r="I14" s="143">
        <f>ROUND(I8*I10*I12,0)</f>
        <v>0</v>
      </c>
    </row>
    <row r="15" spans="2:9" ht="18.75" customHeight="1"/>
    <row r="16" spans="2:9" ht="18.75" customHeight="1">
      <c r="B16" s="118"/>
      <c r="C16" s="118"/>
      <c r="D16" s="118"/>
      <c r="E16" s="118"/>
      <c r="F16" s="118"/>
    </row>
    <row r="17" spans="1:9" ht="18.75" customHeight="1">
      <c r="B17" s="238" t="s">
        <v>44</v>
      </c>
      <c r="C17" s="238"/>
      <c r="D17" s="238"/>
      <c r="E17" s="238"/>
      <c r="F17" s="238"/>
      <c r="G17" s="238"/>
      <c r="H17" s="238"/>
      <c r="I17" s="238"/>
    </row>
    <row r="18" spans="1:9" ht="18.75" customHeight="1">
      <c r="A18" s="122" t="s">
        <v>34</v>
      </c>
      <c r="B18" s="238" t="s">
        <v>39</v>
      </c>
      <c r="C18" s="238"/>
      <c r="D18" s="238"/>
      <c r="E18" s="238"/>
      <c r="F18" s="238"/>
      <c r="G18" s="238"/>
      <c r="H18" s="238"/>
      <c r="I18" s="238"/>
    </row>
    <row r="19" spans="1:9" ht="18.75" customHeight="1">
      <c r="B19" s="118"/>
      <c r="C19" s="118"/>
      <c r="D19" s="118"/>
      <c r="E19" s="118"/>
      <c r="F19" s="118"/>
      <c r="G19" s="118"/>
      <c r="H19" s="118"/>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C10:H10"/>
    <mergeCell ref="C14:G14"/>
    <mergeCell ref="B17:I17"/>
    <mergeCell ref="B18:I18"/>
    <mergeCell ref="C12:G12"/>
    <mergeCell ref="C8:G8"/>
    <mergeCell ref="G1:I1"/>
    <mergeCell ref="B2:I2"/>
    <mergeCell ref="C4:D4"/>
    <mergeCell ref="C5:E5"/>
    <mergeCell ref="C6:I6"/>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I71"/>
  <sheetViews>
    <sheetView view="pageBreakPreview" zoomScale="85" zoomScaleNormal="85" zoomScaleSheetLayoutView="85" workbookViewId="0">
      <selection activeCell="C5" sqref="C5:E5"/>
    </sheetView>
  </sheetViews>
  <sheetFormatPr defaultColWidth="9" defaultRowHeight="13"/>
  <cols>
    <col min="1" max="1" width="1.26953125" style="152" customWidth="1"/>
    <col min="2" max="2" width="13.90625" style="152" bestFit="1" customWidth="1"/>
    <col min="3" max="3" width="14" style="152" customWidth="1"/>
    <col min="4" max="8" width="9" style="152" customWidth="1"/>
    <col min="9" max="9" width="15" style="6" customWidth="1"/>
    <col min="10" max="16384" width="9" style="152"/>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151"/>
      <c r="C3" s="151"/>
      <c r="D3" s="151"/>
      <c r="E3" s="151"/>
      <c r="F3" s="151"/>
      <c r="G3" s="151"/>
      <c r="H3" s="151"/>
      <c r="I3" s="4"/>
    </row>
    <row r="4" spans="2:9" ht="18.75" customHeight="1">
      <c r="B4" s="9" t="s">
        <v>32</v>
      </c>
      <c r="C4" s="237"/>
      <c r="D4" s="237"/>
      <c r="E4" s="10"/>
      <c r="F4" s="10"/>
      <c r="G4" s="10"/>
      <c r="H4" s="10"/>
      <c r="I4" s="10"/>
    </row>
    <row r="5" spans="2:9" ht="18.75" customHeight="1">
      <c r="B5" s="9" t="s">
        <v>30</v>
      </c>
      <c r="C5" s="236"/>
      <c r="D5" s="236"/>
      <c r="E5" s="236"/>
      <c r="F5" s="150"/>
      <c r="G5" s="150"/>
      <c r="H5" s="150"/>
      <c r="I5" s="150"/>
    </row>
    <row r="6" spans="2:9" ht="18.75" customHeight="1">
      <c r="B6" s="9" t="s">
        <v>29</v>
      </c>
      <c r="C6" s="235" t="s">
        <v>388</v>
      </c>
      <c r="D6" s="235"/>
      <c r="E6" s="235"/>
      <c r="F6" s="235"/>
      <c r="G6" s="235"/>
      <c r="H6" s="235"/>
      <c r="I6" s="235"/>
    </row>
    <row r="7" spans="2:9" ht="18.75" customHeight="1" thickBot="1"/>
    <row r="8" spans="2:9" ht="18.75" customHeight="1" thickBot="1">
      <c r="C8" s="228" t="s">
        <v>27</v>
      </c>
      <c r="D8" s="228"/>
      <c r="E8" s="228"/>
      <c r="F8" s="228"/>
      <c r="G8" s="228"/>
      <c r="H8" s="228"/>
      <c r="I8" s="14">
        <f>'DB（削除禁止）'!EE4</f>
        <v>80</v>
      </c>
    </row>
    <row r="9" spans="2:9" ht="18.75" customHeight="1" thickBot="1"/>
    <row r="10" spans="2:9" ht="18.75" customHeight="1" thickBot="1">
      <c r="C10" s="228" t="s">
        <v>28</v>
      </c>
      <c r="D10" s="228"/>
      <c r="E10" s="228"/>
      <c r="F10" s="228"/>
      <c r="G10" s="228"/>
      <c r="H10" s="228"/>
      <c r="I10" s="142"/>
    </row>
    <row r="11" spans="2:9" ht="18.75" customHeight="1" thickBot="1"/>
    <row r="12" spans="2:9" ht="18.75" customHeight="1" thickBot="1">
      <c r="C12" s="228" t="s">
        <v>40</v>
      </c>
      <c r="D12" s="228"/>
      <c r="E12" s="228"/>
      <c r="F12" s="228"/>
      <c r="G12" s="228"/>
      <c r="H12" s="228"/>
      <c r="I12" s="143" t="str">
        <f>IF(I10="","",MIN(I8,I10))</f>
        <v/>
      </c>
    </row>
    <row r="13" spans="2:9" ht="18.75" customHeight="1" thickBot="1">
      <c r="I13" s="152"/>
    </row>
    <row r="14" spans="2:9" ht="18.75" customHeight="1" thickBot="1">
      <c r="C14" s="228" t="s">
        <v>41</v>
      </c>
      <c r="D14" s="228"/>
      <c r="E14" s="228"/>
      <c r="F14" s="228"/>
      <c r="G14" s="228"/>
      <c r="H14" s="228"/>
      <c r="I14" s="8"/>
    </row>
    <row r="15" spans="2:9" ht="18.75" customHeight="1" thickBot="1"/>
    <row r="16" spans="2:9" ht="18.75" customHeight="1" thickBot="1">
      <c r="C16" s="240" t="s">
        <v>108</v>
      </c>
      <c r="D16" s="240"/>
      <c r="E16" s="240"/>
      <c r="F16" s="240"/>
      <c r="G16" s="240"/>
      <c r="H16" s="153" t="s">
        <v>42</v>
      </c>
      <c r="I16" s="143" t="e">
        <f>ROUND(I12*I14,2)</f>
        <v>#VALUE!</v>
      </c>
    </row>
    <row r="17" spans="1:9" ht="18.75" customHeight="1" thickBot="1"/>
    <row r="18" spans="1:9" ht="18.75" customHeight="1" thickBot="1">
      <c r="C18" s="228" t="s">
        <v>98</v>
      </c>
      <c r="D18" s="228"/>
      <c r="E18" s="228"/>
      <c r="F18" s="228"/>
      <c r="G18" s="228"/>
      <c r="H18" s="228"/>
      <c r="I18" s="14" t="str">
        <f>IF(E19="","",VLOOKUP(E19,'DB別表3（削除禁止）'!$D$74:$F$76,3,FALSE))</f>
        <v/>
      </c>
    </row>
    <row r="19" spans="1:9" ht="18.75" customHeight="1">
      <c r="C19" s="231" t="s">
        <v>92</v>
      </c>
      <c r="D19" s="231"/>
      <c r="E19" s="232"/>
      <c r="F19" s="232"/>
      <c r="G19" s="148"/>
      <c r="H19" s="148"/>
      <c r="I19" s="152"/>
    </row>
    <row r="20" spans="1:9" ht="18.75" customHeight="1" thickBot="1"/>
    <row r="21" spans="1:9" ht="18.75" customHeight="1" thickBot="1">
      <c r="C21" s="228" t="s">
        <v>99</v>
      </c>
      <c r="D21" s="228"/>
      <c r="E21" s="228"/>
      <c r="F21" s="228"/>
      <c r="G21" s="228"/>
      <c r="H21" s="228"/>
      <c r="I21" s="142"/>
    </row>
    <row r="22" spans="1:9" ht="18.75" customHeight="1" thickBot="1"/>
    <row r="23" spans="1:9" ht="18.75" customHeight="1" thickBot="1">
      <c r="C23" s="228" t="s">
        <v>100</v>
      </c>
      <c r="D23" s="228"/>
      <c r="E23" s="228"/>
      <c r="F23" s="228"/>
      <c r="G23" s="228"/>
      <c r="H23" s="153" t="s">
        <v>43</v>
      </c>
      <c r="I23" s="143" t="str">
        <f>IF(OR(I18="",I21=""),"",MIN(I18,I21))</f>
        <v/>
      </c>
    </row>
    <row r="24" spans="1:9" ht="18.75" customHeight="1" thickBot="1"/>
    <row r="25" spans="1:9" ht="18.75" customHeight="1" thickBot="1">
      <c r="C25" s="240" t="s">
        <v>107</v>
      </c>
      <c r="D25" s="240"/>
      <c r="E25" s="240"/>
      <c r="F25" s="240"/>
      <c r="G25" s="240"/>
      <c r="H25" s="153" t="s">
        <v>33</v>
      </c>
      <c r="I25" s="145" t="e">
        <f>ROUND(I16*I23,0)</f>
        <v>#VALUE!</v>
      </c>
    </row>
    <row r="26" spans="1:9" ht="18.75" customHeight="1">
      <c r="B26" s="229"/>
      <c r="C26" s="229"/>
      <c r="D26" s="229"/>
      <c r="E26" s="229"/>
      <c r="F26" s="149"/>
    </row>
    <row r="27" spans="1:9" ht="18.75" customHeight="1">
      <c r="B27" s="149"/>
      <c r="C27" s="149"/>
      <c r="D27" s="149"/>
      <c r="E27" s="149"/>
      <c r="F27" s="149"/>
    </row>
    <row r="28" spans="1:9" ht="18.75" customHeight="1">
      <c r="B28" s="238" t="s">
        <v>137</v>
      </c>
      <c r="C28" s="238"/>
      <c r="D28" s="238"/>
      <c r="E28" s="238"/>
      <c r="F28" s="238"/>
      <c r="G28" s="238"/>
      <c r="H28" s="238"/>
      <c r="I28" s="238"/>
    </row>
    <row r="29" spans="1:9" ht="18.75" customHeight="1">
      <c r="A29" s="152" t="s">
        <v>34</v>
      </c>
      <c r="B29" s="238" t="s">
        <v>138</v>
      </c>
      <c r="C29" s="238"/>
      <c r="D29" s="238"/>
      <c r="E29" s="238"/>
      <c r="F29" s="238"/>
      <c r="G29" s="238"/>
      <c r="H29" s="238"/>
      <c r="I29" s="238"/>
    </row>
    <row r="30" spans="1:9" ht="18.75" customHeight="1">
      <c r="B30" s="151"/>
      <c r="C30" s="151"/>
      <c r="D30" s="151"/>
      <c r="E30" s="151"/>
      <c r="F30" s="151"/>
      <c r="G30" s="151"/>
      <c r="H30" s="151"/>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C21:H21"/>
    <mergeCell ref="G1:I1"/>
    <mergeCell ref="B2:I2"/>
    <mergeCell ref="C4:D4"/>
    <mergeCell ref="C5:E5"/>
    <mergeCell ref="C6:I6"/>
    <mergeCell ref="C8:H8"/>
    <mergeCell ref="C19:D19"/>
    <mergeCell ref="E19:F19"/>
    <mergeCell ref="C10:H10"/>
    <mergeCell ref="C12:H12"/>
    <mergeCell ref="C14:H14"/>
    <mergeCell ref="C16:G16"/>
    <mergeCell ref="C18:H18"/>
    <mergeCell ref="C23:G23"/>
    <mergeCell ref="C25:G25"/>
    <mergeCell ref="B26:E26"/>
    <mergeCell ref="B28:I28"/>
    <mergeCell ref="B29:I29"/>
  </mergeCells>
  <phoneticPr fontId="1"/>
  <conditionalFormatting sqref="I10">
    <cfRule type="expression" dxfId="19" priority="9">
      <formula>IF(RIGHT(TEXT($I10,"0.#"),1)=".",FALSE,TRUE)</formula>
    </cfRule>
    <cfRule type="expression" dxfId="18" priority="10">
      <formula>IF(RIGHT(TEXT($I10,"0.#"),1)=".",TRUE,FALSE)</formula>
    </cfRule>
  </conditionalFormatting>
  <conditionalFormatting sqref="I12">
    <cfRule type="expression" dxfId="17" priority="7">
      <formula>IF(RIGHT(TEXT($I12,"0.#"),1)=".",FALSE,TRUE)</formula>
    </cfRule>
    <cfRule type="expression" dxfId="16" priority="8">
      <formula>IF(RIGHT(TEXT($I12,"0.#"),1)=".",TRUE,FALSE)</formula>
    </cfRule>
  </conditionalFormatting>
  <conditionalFormatting sqref="I23">
    <cfRule type="expression" dxfId="15" priority="5">
      <formula>IF(RIGHT(TEXT($I23,"0.#"),1)=".",FALSE,TRUE)</formula>
    </cfRule>
    <cfRule type="expression" dxfId="14" priority="6">
      <formula>IF(RIGHT(TEXT($I23,"0.#"),1)=".",TRUE,FALSE)</formula>
    </cfRule>
  </conditionalFormatting>
  <conditionalFormatting sqref="I21">
    <cfRule type="expression" dxfId="13" priority="3">
      <formula>IF(RIGHT(TEXT($I21,"0.#"),1)=".",FALSE,TRUE)</formula>
    </cfRule>
    <cfRule type="expression" dxfId="12" priority="4">
      <formula>IF(RIGHT(TEXT($I21,"0.#"),1)=".",TRUE,FALSE)</formula>
    </cfRule>
  </conditionalFormatting>
  <conditionalFormatting sqref="I16">
    <cfRule type="expression" dxfId="11" priority="1">
      <formula>IF(RIGHT(TEXT($I16,"0.#"),1)=".",FALSE,TRUE)</formula>
    </cfRule>
    <cfRule type="expression" dxfId="1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'DB別表3（削除禁止）'!$E$60:$E$62</xm:f>
          </x14:formula1>
          <xm:sqref>E19</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I71"/>
  <sheetViews>
    <sheetView view="pageBreakPreview" zoomScale="85" zoomScaleNormal="85" zoomScaleSheetLayoutView="85" workbookViewId="0">
      <selection activeCell="C5" sqref="C5:E5"/>
    </sheetView>
  </sheetViews>
  <sheetFormatPr defaultColWidth="9" defaultRowHeight="13"/>
  <cols>
    <col min="1" max="1" width="1.26953125" style="152" customWidth="1"/>
    <col min="2" max="2" width="13.90625" style="152" bestFit="1" customWidth="1"/>
    <col min="3" max="3" width="14" style="152" customWidth="1"/>
    <col min="4" max="8" width="9" style="152" customWidth="1"/>
    <col min="9" max="9" width="15" style="6" customWidth="1"/>
    <col min="10" max="16384" width="9" style="152"/>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151"/>
      <c r="C3" s="151"/>
      <c r="D3" s="151"/>
      <c r="E3" s="151"/>
      <c r="F3" s="151"/>
      <c r="G3" s="151"/>
      <c r="H3" s="151"/>
      <c r="I3" s="4"/>
    </row>
    <row r="4" spans="2:9" ht="18.75" customHeight="1">
      <c r="B4" s="9" t="s">
        <v>32</v>
      </c>
      <c r="C4" s="237"/>
      <c r="D4" s="237"/>
      <c r="E4" s="10"/>
      <c r="F4" s="10"/>
      <c r="G4" s="10"/>
      <c r="H4" s="10"/>
      <c r="I4" s="10"/>
    </row>
    <row r="5" spans="2:9" ht="18.75" customHeight="1">
      <c r="B5" s="9" t="s">
        <v>30</v>
      </c>
      <c r="C5" s="236"/>
      <c r="D5" s="236"/>
      <c r="E5" s="236"/>
      <c r="F5" s="150"/>
      <c r="G5" s="150"/>
      <c r="H5" s="150"/>
      <c r="I5" s="150"/>
    </row>
    <row r="6" spans="2:9" ht="18.75" customHeight="1">
      <c r="B6" s="9" t="s">
        <v>29</v>
      </c>
      <c r="C6" s="235" t="s">
        <v>387</v>
      </c>
      <c r="D6" s="235"/>
      <c r="E6" s="235"/>
      <c r="F6" s="235"/>
      <c r="G6" s="235"/>
      <c r="H6" s="235"/>
      <c r="I6" s="235"/>
    </row>
    <row r="7" spans="2:9" ht="18.75" customHeight="1" thickBot="1"/>
    <row r="8" spans="2:9" ht="18.75" customHeight="1" thickBot="1">
      <c r="C8" s="228" t="s">
        <v>27</v>
      </c>
      <c r="D8" s="228"/>
      <c r="E8" s="228"/>
      <c r="F8" s="228"/>
      <c r="G8" s="228"/>
      <c r="H8" s="228"/>
      <c r="I8" s="14">
        <f>'DB（削除禁止）'!EI4</f>
        <v>150</v>
      </c>
    </row>
    <row r="9" spans="2:9" ht="18.75" customHeight="1" thickBot="1"/>
    <row r="10" spans="2:9" ht="18.75" customHeight="1" thickBot="1">
      <c r="C10" s="228" t="s">
        <v>28</v>
      </c>
      <c r="D10" s="228"/>
      <c r="E10" s="228"/>
      <c r="F10" s="228"/>
      <c r="G10" s="228"/>
      <c r="H10" s="228"/>
      <c r="I10" s="142"/>
    </row>
    <row r="11" spans="2:9" ht="18.75" customHeight="1" thickBot="1"/>
    <row r="12" spans="2:9" ht="18.75" customHeight="1" thickBot="1">
      <c r="C12" s="228" t="s">
        <v>40</v>
      </c>
      <c r="D12" s="228"/>
      <c r="E12" s="228"/>
      <c r="F12" s="228"/>
      <c r="G12" s="228"/>
      <c r="H12" s="228"/>
      <c r="I12" s="143" t="str">
        <f>IF(I10="","",MIN(I8,I10))</f>
        <v/>
      </c>
    </row>
    <row r="13" spans="2:9" ht="18.75" customHeight="1" thickBot="1">
      <c r="I13" s="152"/>
    </row>
    <row r="14" spans="2:9" ht="18.75" customHeight="1" thickBot="1">
      <c r="C14" s="228" t="s">
        <v>41</v>
      </c>
      <c r="D14" s="228"/>
      <c r="E14" s="228"/>
      <c r="F14" s="228"/>
      <c r="G14" s="228"/>
      <c r="H14" s="228"/>
      <c r="I14" s="8"/>
    </row>
    <row r="15" spans="2:9" ht="18.75" customHeight="1" thickBot="1"/>
    <row r="16" spans="2:9" ht="18.75" customHeight="1" thickBot="1">
      <c r="C16" s="240" t="s">
        <v>108</v>
      </c>
      <c r="D16" s="240"/>
      <c r="E16" s="240"/>
      <c r="F16" s="240"/>
      <c r="G16" s="240"/>
      <c r="H16" s="153" t="s">
        <v>42</v>
      </c>
      <c r="I16" s="143" t="e">
        <f>ROUND(I12*I14,2)</f>
        <v>#VALUE!</v>
      </c>
    </row>
    <row r="17" spans="1:9" ht="18.75" customHeight="1" thickBot="1"/>
    <row r="18" spans="1:9" ht="18.75" customHeight="1" thickBot="1">
      <c r="C18" s="228" t="s">
        <v>98</v>
      </c>
      <c r="D18" s="228"/>
      <c r="E18" s="228"/>
      <c r="F18" s="228"/>
      <c r="G18" s="228"/>
      <c r="H18" s="228"/>
      <c r="I18" s="14" t="str">
        <f>IF(E19="","",VLOOKUP(E19,'DB別表3（削除禁止）'!$D$78:$F$80,3,FALSE))</f>
        <v/>
      </c>
    </row>
    <row r="19" spans="1:9" ht="18.75" customHeight="1">
      <c r="C19" s="231" t="s">
        <v>92</v>
      </c>
      <c r="D19" s="231"/>
      <c r="E19" s="232"/>
      <c r="F19" s="232"/>
      <c r="G19" s="148"/>
      <c r="H19" s="148"/>
      <c r="I19" s="152"/>
    </row>
    <row r="20" spans="1:9" ht="18.75" customHeight="1" thickBot="1"/>
    <row r="21" spans="1:9" ht="18.75" customHeight="1" thickBot="1">
      <c r="C21" s="228" t="s">
        <v>99</v>
      </c>
      <c r="D21" s="228"/>
      <c r="E21" s="228"/>
      <c r="F21" s="228"/>
      <c r="G21" s="228"/>
      <c r="H21" s="228"/>
      <c r="I21" s="142"/>
    </row>
    <row r="22" spans="1:9" ht="18.75" customHeight="1" thickBot="1"/>
    <row r="23" spans="1:9" ht="18.75" customHeight="1" thickBot="1">
      <c r="C23" s="228" t="s">
        <v>100</v>
      </c>
      <c r="D23" s="228"/>
      <c r="E23" s="228"/>
      <c r="F23" s="228"/>
      <c r="G23" s="228"/>
      <c r="H23" s="153" t="s">
        <v>43</v>
      </c>
      <c r="I23" s="143" t="str">
        <f>IF(OR(I18="",I21=""),"",MIN(I18,I21))</f>
        <v/>
      </c>
    </row>
    <row r="24" spans="1:9" ht="18.75" customHeight="1" thickBot="1"/>
    <row r="25" spans="1:9" ht="18.75" customHeight="1" thickBot="1">
      <c r="C25" s="240" t="s">
        <v>107</v>
      </c>
      <c r="D25" s="240"/>
      <c r="E25" s="240"/>
      <c r="F25" s="240"/>
      <c r="G25" s="240"/>
      <c r="H25" s="153" t="s">
        <v>33</v>
      </c>
      <c r="I25" s="145" t="e">
        <f>ROUND(I16*I23,0)</f>
        <v>#VALUE!</v>
      </c>
    </row>
    <row r="26" spans="1:9" ht="18.75" customHeight="1">
      <c r="B26" s="229"/>
      <c r="C26" s="229"/>
      <c r="D26" s="229"/>
      <c r="E26" s="229"/>
      <c r="F26" s="149"/>
    </row>
    <row r="27" spans="1:9" ht="18.75" customHeight="1">
      <c r="B27" s="149"/>
      <c r="C27" s="149"/>
      <c r="D27" s="149"/>
      <c r="E27" s="149"/>
      <c r="F27" s="149"/>
    </row>
    <row r="28" spans="1:9" ht="18.75" customHeight="1">
      <c r="B28" s="238" t="s">
        <v>137</v>
      </c>
      <c r="C28" s="238"/>
      <c r="D28" s="238"/>
      <c r="E28" s="238"/>
      <c r="F28" s="238"/>
      <c r="G28" s="238"/>
      <c r="H28" s="238"/>
      <c r="I28" s="238"/>
    </row>
    <row r="29" spans="1:9" ht="18.75" customHeight="1">
      <c r="A29" s="152" t="s">
        <v>34</v>
      </c>
      <c r="B29" s="238" t="s">
        <v>138</v>
      </c>
      <c r="C29" s="238"/>
      <c r="D29" s="238"/>
      <c r="E29" s="238"/>
      <c r="F29" s="238"/>
      <c r="G29" s="238"/>
      <c r="H29" s="238"/>
      <c r="I29" s="238"/>
    </row>
    <row r="30" spans="1:9" ht="18.75" customHeight="1">
      <c r="B30" s="151"/>
      <c r="C30" s="151"/>
      <c r="D30" s="151"/>
      <c r="E30" s="151"/>
      <c r="F30" s="151"/>
      <c r="G30" s="151"/>
      <c r="H30" s="151"/>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C21:H21"/>
    <mergeCell ref="G1:I1"/>
    <mergeCell ref="B2:I2"/>
    <mergeCell ref="C4:D4"/>
    <mergeCell ref="C5:E5"/>
    <mergeCell ref="C6:I6"/>
    <mergeCell ref="C8:H8"/>
    <mergeCell ref="C19:D19"/>
    <mergeCell ref="E19:F19"/>
    <mergeCell ref="C10:H10"/>
    <mergeCell ref="C12:H12"/>
    <mergeCell ref="C14:H14"/>
    <mergeCell ref="C16:G16"/>
    <mergeCell ref="C18:H18"/>
    <mergeCell ref="C23:G23"/>
    <mergeCell ref="C25:G25"/>
    <mergeCell ref="B26:E26"/>
    <mergeCell ref="B28:I28"/>
    <mergeCell ref="B29:I29"/>
  </mergeCells>
  <phoneticPr fontId="1"/>
  <conditionalFormatting sqref="I10">
    <cfRule type="expression" dxfId="9" priority="9">
      <formula>IF(RIGHT(TEXT($I10,"0.#"),1)=".",FALSE,TRUE)</formula>
    </cfRule>
    <cfRule type="expression" dxfId="8" priority="10">
      <formula>IF(RIGHT(TEXT($I10,"0.#"),1)=".",TRUE,FALSE)</formula>
    </cfRule>
  </conditionalFormatting>
  <conditionalFormatting sqref="I12">
    <cfRule type="expression" dxfId="7" priority="7">
      <formula>IF(RIGHT(TEXT($I12,"0.#"),1)=".",FALSE,TRUE)</formula>
    </cfRule>
    <cfRule type="expression" dxfId="6" priority="8">
      <formula>IF(RIGHT(TEXT($I12,"0.#"),1)=".",TRUE,FALSE)</formula>
    </cfRule>
  </conditionalFormatting>
  <conditionalFormatting sqref="I23">
    <cfRule type="expression" dxfId="5" priority="5">
      <formula>IF(RIGHT(TEXT($I23,"0.#"),1)=".",FALSE,TRUE)</formula>
    </cfRule>
    <cfRule type="expression" dxfId="4" priority="6">
      <formula>IF(RIGHT(TEXT($I23,"0.#"),1)=".",TRUE,FALSE)</formula>
    </cfRule>
  </conditionalFormatting>
  <conditionalFormatting sqref="I21">
    <cfRule type="expression" dxfId="3" priority="3">
      <formula>IF(RIGHT(TEXT($I21,"0.#"),1)=".",FALSE,TRUE)</formula>
    </cfRule>
    <cfRule type="expression" dxfId="2" priority="4">
      <formula>IF(RIGHT(TEXT($I21,"0.#"),1)=".",TRUE,FALSE)</formula>
    </cfRule>
  </conditionalFormatting>
  <conditionalFormatting sqref="I16">
    <cfRule type="expression" dxfId="1" priority="1">
      <formula>IF(RIGHT(TEXT($I16,"0.#"),1)=".",FALSE,TRUE)</formula>
    </cfRule>
    <cfRule type="expression" dxfId="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'DB別表3（削除禁止）'!$E$60:$E$62</xm:f>
          </x14:formula1>
          <xm:sqref>E19</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topLeftCell="B1" zoomScale="85" zoomScaleNormal="85" zoomScaleSheetLayoutView="85" workbookViewId="0">
      <selection activeCell="J14" sqref="J14"/>
    </sheetView>
  </sheetViews>
  <sheetFormatPr defaultColWidth="9" defaultRowHeight="13"/>
  <cols>
    <col min="1" max="1" width="1.26953125" style="178" customWidth="1"/>
    <col min="2" max="2" width="13.90625" style="178" bestFit="1" customWidth="1"/>
    <col min="3" max="3" width="14" style="178" customWidth="1"/>
    <col min="4" max="8" width="9" style="178" customWidth="1"/>
    <col min="9" max="9" width="15" style="6" customWidth="1"/>
    <col min="10" max="16384" width="9" style="178"/>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176"/>
      <c r="C3" s="176"/>
      <c r="D3" s="176"/>
      <c r="E3" s="176"/>
      <c r="F3" s="176"/>
      <c r="G3" s="176"/>
      <c r="H3" s="176"/>
      <c r="I3" s="4"/>
    </row>
    <row r="4" spans="2:9" ht="18.75" customHeight="1">
      <c r="B4" s="9" t="s">
        <v>32</v>
      </c>
      <c r="C4" s="237"/>
      <c r="D4" s="237"/>
      <c r="E4" s="10"/>
      <c r="F4" s="10"/>
      <c r="G4" s="10"/>
      <c r="H4" s="10"/>
      <c r="I4" s="10"/>
    </row>
    <row r="5" spans="2:9" ht="18.75" customHeight="1">
      <c r="B5" s="9" t="s">
        <v>30</v>
      </c>
      <c r="C5" s="236"/>
      <c r="D5" s="236"/>
      <c r="E5" s="236"/>
      <c r="F5" s="177"/>
      <c r="G5" s="177"/>
      <c r="H5" s="177"/>
      <c r="I5" s="177"/>
    </row>
    <row r="6" spans="2:9" ht="18.75" customHeight="1">
      <c r="B6" s="9" t="s">
        <v>29</v>
      </c>
      <c r="C6" s="263" t="s">
        <v>398</v>
      </c>
      <c r="D6" s="263"/>
      <c r="E6" s="263"/>
      <c r="F6" s="263"/>
      <c r="G6" s="177"/>
      <c r="H6" s="177"/>
      <c r="I6" s="177"/>
    </row>
    <row r="7" spans="2:9" ht="18.75" customHeight="1">
      <c r="B7" s="9" t="s">
        <v>65</v>
      </c>
      <c r="C7" s="265"/>
      <c r="D7" s="265"/>
      <c r="E7" s="199"/>
      <c r="F7" s="199"/>
      <c r="G7" s="201"/>
      <c r="H7" s="179"/>
      <c r="I7" s="179"/>
    </row>
    <row r="8" spans="2:9" ht="18.75" customHeight="1" thickBot="1"/>
    <row r="9" spans="2:9" ht="18.75" customHeight="1" thickBot="1">
      <c r="C9" s="240" t="s">
        <v>35</v>
      </c>
      <c r="D9" s="240"/>
      <c r="E9" s="240"/>
      <c r="F9" s="240"/>
      <c r="G9" s="240"/>
      <c r="H9" s="180" t="s">
        <v>43</v>
      </c>
      <c r="I9" s="7" t="str">
        <f>IF(OR(C6="",C7=""),"",VLOOKUP(C7,'DB（削除禁止）'!CE12:CF15,2,FALSE))</f>
        <v/>
      </c>
    </row>
    <row r="10" spans="2:9" ht="18.75" customHeight="1" thickBot="1"/>
    <row r="11" spans="2:9" ht="18.75" customHeight="1" thickBot="1">
      <c r="C11" s="228" t="s">
        <v>36</v>
      </c>
      <c r="D11" s="228"/>
      <c r="E11" s="228"/>
      <c r="F11" s="228"/>
      <c r="G11" s="228"/>
      <c r="H11" s="228"/>
      <c r="I11" s="7"/>
    </row>
    <row r="12" spans="2:9" ht="18.75" customHeight="1" thickBot="1"/>
    <row r="13" spans="2:9" ht="18.75" customHeight="1" thickBot="1">
      <c r="C13" s="240" t="s">
        <v>37</v>
      </c>
      <c r="D13" s="240"/>
      <c r="E13" s="240"/>
      <c r="F13" s="240"/>
      <c r="G13" s="240"/>
      <c r="H13" s="180" t="s">
        <v>42</v>
      </c>
      <c r="I13" s="8"/>
    </row>
    <row r="14" spans="2:9" ht="18.75" customHeight="1" thickBot="1">
      <c r="I14" s="178"/>
    </row>
    <row r="15" spans="2:9" ht="18.75" customHeight="1" thickBot="1">
      <c r="C15" s="228" t="s">
        <v>104</v>
      </c>
      <c r="D15" s="228"/>
      <c r="E15" s="228"/>
      <c r="F15" s="228"/>
      <c r="G15" s="228"/>
      <c r="H15" s="180" t="s">
        <v>33</v>
      </c>
      <c r="I15" s="143" t="e">
        <f>ROUND(I9*I11*I13,0)</f>
        <v>#VALUE!</v>
      </c>
    </row>
    <row r="16" spans="2:9" ht="18.75" customHeight="1">
      <c r="H16" s="181"/>
    </row>
    <row r="17" spans="1:9" ht="18.75" customHeight="1"/>
    <row r="18" spans="1:9" ht="18.75" customHeight="1">
      <c r="B18" s="229" t="s">
        <v>44</v>
      </c>
      <c r="C18" s="229"/>
      <c r="D18" s="229"/>
      <c r="E18" s="229"/>
      <c r="F18" s="229"/>
      <c r="G18" s="229"/>
      <c r="H18" s="229"/>
      <c r="I18" s="229"/>
    </row>
    <row r="19" spans="1:9" ht="18.75" customHeight="1">
      <c r="A19" s="178" t="s">
        <v>34</v>
      </c>
      <c r="B19" s="229" t="s">
        <v>39</v>
      </c>
      <c r="C19" s="229"/>
      <c r="D19" s="229"/>
      <c r="E19" s="229"/>
      <c r="F19" s="229"/>
      <c r="G19" s="229"/>
      <c r="H19" s="229"/>
      <c r="I19" s="229"/>
    </row>
    <row r="20" spans="1:9" ht="18.75" customHeight="1">
      <c r="B20" s="176"/>
      <c r="C20" s="176"/>
      <c r="D20" s="176"/>
      <c r="E20" s="176"/>
      <c r="F20" s="176"/>
      <c r="G20" s="176"/>
      <c r="H20" s="176"/>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c r="B28" s="178" t="s">
        <v>137</v>
      </c>
    </row>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2">
    <mergeCell ref="C11:H11"/>
    <mergeCell ref="C13:G13"/>
    <mergeCell ref="C15:G15"/>
    <mergeCell ref="B18:I18"/>
    <mergeCell ref="B19:I19"/>
    <mergeCell ref="C9:G9"/>
    <mergeCell ref="G1:I1"/>
    <mergeCell ref="B2:I2"/>
    <mergeCell ref="C4:D4"/>
    <mergeCell ref="C5:E5"/>
    <mergeCell ref="C6:F6"/>
    <mergeCell ref="C7:D7"/>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'DB（削除禁止）'!$BM$4:$BM$6</xm:f>
          </x14:formula1>
          <xm:sqref>C6:F6</xm:sqref>
        </x14:dataValidation>
        <x14:dataValidation type="list" allowBlank="1" showInputMessage="1" showErrorMessage="1">
          <x14:formula1>
            <xm:f>'DB（削除禁止）'!$CE$12:$CE$15</xm:f>
          </x14:formula1>
          <xm:sqref>C7:D7</xm:sqref>
        </x14:dataValidation>
      </x14:dataValidations>
    </ext>
  </extLs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1"/>
  <sheetViews>
    <sheetView view="pageBreakPreview" topLeftCell="B1" zoomScale="85" zoomScaleNormal="85" zoomScaleSheetLayoutView="85" workbookViewId="0">
      <selection activeCell="I13" sqref="I13"/>
    </sheetView>
  </sheetViews>
  <sheetFormatPr defaultColWidth="9" defaultRowHeight="13"/>
  <cols>
    <col min="1" max="1" width="1.26953125" style="213" customWidth="1"/>
    <col min="2" max="2" width="13.90625" style="213" bestFit="1" customWidth="1"/>
    <col min="3" max="3" width="14" style="213" customWidth="1"/>
    <col min="4" max="8" width="9" style="213" customWidth="1"/>
    <col min="9" max="9" width="15" style="6" customWidth="1"/>
    <col min="10" max="16384" width="9" style="213"/>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212"/>
      <c r="C3" s="212"/>
      <c r="D3" s="212"/>
      <c r="E3" s="212"/>
      <c r="F3" s="212"/>
      <c r="G3" s="212"/>
      <c r="H3" s="212"/>
      <c r="I3" s="4"/>
    </row>
    <row r="4" spans="2:9" ht="18.75" customHeight="1">
      <c r="B4" s="9" t="s">
        <v>32</v>
      </c>
      <c r="C4" s="237"/>
      <c r="D4" s="237"/>
      <c r="E4" s="10"/>
      <c r="F4" s="10"/>
      <c r="G4" s="10"/>
      <c r="H4" s="10"/>
      <c r="I4" s="10"/>
    </row>
    <row r="5" spans="2:9" ht="18.75" customHeight="1">
      <c r="B5" s="9" t="s">
        <v>30</v>
      </c>
      <c r="C5" s="236"/>
      <c r="D5" s="236"/>
      <c r="E5" s="236"/>
      <c r="F5" s="211"/>
      <c r="G5" s="211"/>
      <c r="H5" s="211"/>
      <c r="I5" s="211"/>
    </row>
    <row r="6" spans="2:9" ht="18.75" customHeight="1">
      <c r="B6" s="9" t="s">
        <v>29</v>
      </c>
      <c r="C6" s="263" t="s">
        <v>404</v>
      </c>
      <c r="D6" s="263"/>
      <c r="E6" s="263"/>
      <c r="F6" s="263"/>
      <c r="G6" s="211"/>
      <c r="H6" s="211"/>
      <c r="I6" s="211"/>
    </row>
    <row r="7" spans="2:9" ht="18.75" customHeight="1">
      <c r="B7" s="9" t="s">
        <v>65</v>
      </c>
      <c r="C7" s="265"/>
      <c r="D7" s="265"/>
      <c r="E7" s="265"/>
      <c r="F7" s="265"/>
      <c r="G7" s="265"/>
      <c r="H7" s="214"/>
      <c r="I7" s="214"/>
    </row>
    <row r="8" spans="2:9" ht="18.75" customHeight="1" thickBot="1"/>
    <row r="9" spans="2:9" ht="18.75" customHeight="1" thickBot="1">
      <c r="C9" s="240" t="s">
        <v>35</v>
      </c>
      <c r="D9" s="240"/>
      <c r="E9" s="240"/>
      <c r="F9" s="240"/>
      <c r="G9" s="240"/>
      <c r="H9" s="215" t="s">
        <v>43</v>
      </c>
      <c r="I9" s="7" t="str">
        <f>IF(OR(C6="",C7=""),"",VLOOKUP(C7,'DB（削除禁止）'!$EM$11:$EN$15,2,FALSE))</f>
        <v/>
      </c>
    </row>
    <row r="10" spans="2:9" ht="18.75" customHeight="1" thickBot="1"/>
    <row r="11" spans="2:9" ht="18.75" customHeight="1" thickBot="1">
      <c r="C11" s="228" t="s">
        <v>36</v>
      </c>
      <c r="D11" s="228"/>
      <c r="E11" s="228"/>
      <c r="F11" s="228"/>
      <c r="G11" s="228"/>
      <c r="H11" s="228"/>
      <c r="I11" s="219">
        <v>1</v>
      </c>
    </row>
    <row r="12" spans="2:9" ht="18.75" customHeight="1" thickBot="1"/>
    <row r="13" spans="2:9" ht="18.75" customHeight="1" thickBot="1">
      <c r="C13" s="240" t="s">
        <v>37</v>
      </c>
      <c r="D13" s="240"/>
      <c r="E13" s="240"/>
      <c r="F13" s="240"/>
      <c r="G13" s="240"/>
      <c r="H13" s="215" t="s">
        <v>42</v>
      </c>
      <c r="I13" s="8"/>
    </row>
    <row r="14" spans="2:9" ht="18.75" customHeight="1" thickBot="1">
      <c r="I14" s="213"/>
    </row>
    <row r="15" spans="2:9" ht="18.75" customHeight="1" thickBot="1">
      <c r="C15" s="228" t="s">
        <v>104</v>
      </c>
      <c r="D15" s="228"/>
      <c r="E15" s="228"/>
      <c r="F15" s="228"/>
      <c r="G15" s="228"/>
      <c r="H15" s="215" t="s">
        <v>33</v>
      </c>
      <c r="I15" s="143" t="e">
        <f>ROUND(I9*I11*I13,0)</f>
        <v>#VALUE!</v>
      </c>
    </row>
    <row r="16" spans="2:9" ht="18.75" customHeight="1">
      <c r="H16" s="216"/>
    </row>
    <row r="17" spans="1:9" ht="18.75" customHeight="1"/>
    <row r="18" spans="1:9" ht="18.75" customHeight="1">
      <c r="B18" s="229" t="s">
        <v>44</v>
      </c>
      <c r="C18" s="229"/>
      <c r="D18" s="229"/>
      <c r="E18" s="229"/>
      <c r="F18" s="229"/>
      <c r="G18" s="229"/>
      <c r="H18" s="229"/>
      <c r="I18" s="229"/>
    </row>
    <row r="19" spans="1:9" ht="18.75" customHeight="1">
      <c r="A19" s="213" t="s">
        <v>34</v>
      </c>
      <c r="B19" s="229" t="s">
        <v>39</v>
      </c>
      <c r="C19" s="229"/>
      <c r="D19" s="229"/>
      <c r="E19" s="229"/>
      <c r="F19" s="229"/>
      <c r="G19" s="229"/>
      <c r="H19" s="229"/>
      <c r="I19" s="229"/>
    </row>
    <row r="20" spans="1:9" ht="18.75" customHeight="1">
      <c r="B20" s="212"/>
      <c r="C20" s="212"/>
      <c r="D20" s="212"/>
      <c r="E20" s="212"/>
      <c r="F20" s="212"/>
      <c r="G20" s="212"/>
      <c r="H20" s="212"/>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c r="B28" s="213" t="s">
        <v>137</v>
      </c>
    </row>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2">
    <mergeCell ref="C9:G9"/>
    <mergeCell ref="C7:G7"/>
    <mergeCell ref="G1:I1"/>
    <mergeCell ref="B2:I2"/>
    <mergeCell ref="C4:D4"/>
    <mergeCell ref="C5:E5"/>
    <mergeCell ref="C6:F6"/>
    <mergeCell ref="C11:H11"/>
    <mergeCell ref="C13:G13"/>
    <mergeCell ref="C15:G15"/>
    <mergeCell ref="B18:I18"/>
    <mergeCell ref="B19:I19"/>
  </mergeCells>
  <phoneticPr fontId="1"/>
  <printOptions horizontalCentered="1"/>
  <pageMargins left="0.70866141732283472" right="0.70866141732283472" top="0.74803149606299213"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'DB（削除禁止）'!$EM$10</xm:f>
          </x14:formula1>
          <xm:sqref>C6:F6</xm:sqref>
        </x14:dataValidation>
        <x14:dataValidation type="list" allowBlank="1" showInputMessage="1" showErrorMessage="1">
          <x14:formula1>
            <xm:f>'DB（削除禁止）'!$EM$12:$EM$15</xm:f>
          </x14:formula1>
          <xm:sqref>C7:G7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60"/>
  <sheetViews>
    <sheetView view="pageBreakPreview" zoomScale="85" zoomScaleNormal="85" zoomScaleSheetLayoutView="85" workbookViewId="0">
      <selection activeCell="C25" sqref="C25:G25"/>
    </sheetView>
  </sheetViews>
  <sheetFormatPr defaultColWidth="9" defaultRowHeight="13"/>
  <cols>
    <col min="1" max="1" width="1.26953125" style="2" customWidth="1"/>
    <col min="2" max="2" width="13.90625" style="2" bestFit="1" customWidth="1"/>
    <col min="3" max="3" width="14" style="2" customWidth="1"/>
    <col min="4" max="8" width="9" style="2" customWidth="1"/>
    <col min="9" max="9" width="15" style="6" customWidth="1"/>
    <col min="10" max="16384" width="9" style="2"/>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3"/>
      <c r="C3" s="3"/>
      <c r="D3" s="3"/>
      <c r="E3" s="3"/>
      <c r="F3" s="3"/>
      <c r="G3" s="3"/>
      <c r="H3" s="3"/>
      <c r="I3" s="4"/>
    </row>
    <row r="4" spans="2:9" ht="18.75" customHeight="1">
      <c r="B4" s="9" t="s">
        <v>32</v>
      </c>
      <c r="C4" s="237"/>
      <c r="D4" s="237"/>
      <c r="E4" s="10"/>
      <c r="F4" s="10"/>
      <c r="G4" s="10"/>
      <c r="H4" s="10"/>
      <c r="I4" s="10"/>
    </row>
    <row r="5" spans="2:9" ht="18.75" customHeight="1">
      <c r="B5" s="9" t="s">
        <v>30</v>
      </c>
      <c r="C5" s="236"/>
      <c r="D5" s="236"/>
      <c r="E5" s="236"/>
      <c r="F5" s="30"/>
      <c r="G5" s="5"/>
      <c r="H5" s="5"/>
      <c r="I5" s="5"/>
    </row>
    <row r="6" spans="2:9" ht="18.75" customHeight="1">
      <c r="B6" s="9" t="s">
        <v>29</v>
      </c>
      <c r="C6" s="235" t="s">
        <v>31</v>
      </c>
      <c r="D6" s="235"/>
      <c r="E6" s="235"/>
      <c r="F6" s="235"/>
      <c r="G6" s="235"/>
      <c r="H6" s="235"/>
      <c r="I6" s="235"/>
    </row>
    <row r="7" spans="2:9" ht="18.75" customHeight="1" thickBot="1"/>
    <row r="8" spans="2:9" ht="18.75" customHeight="1" thickBot="1">
      <c r="C8" s="240" t="s">
        <v>35</v>
      </c>
      <c r="D8" s="240"/>
      <c r="E8" s="240"/>
      <c r="F8" s="240"/>
      <c r="G8" s="240"/>
      <c r="H8" s="146" t="s">
        <v>43</v>
      </c>
      <c r="I8" s="14">
        <f>'DB（削除禁止）'!N4</f>
        <v>49168000</v>
      </c>
    </row>
    <row r="9" spans="2:9" ht="18.75" customHeight="1" thickBot="1"/>
    <row r="10" spans="2:9" ht="18.75" customHeight="1" thickBot="1">
      <c r="C10" s="240" t="s">
        <v>36</v>
      </c>
      <c r="D10" s="240"/>
      <c r="E10" s="240"/>
      <c r="F10" s="240"/>
      <c r="G10" s="240"/>
      <c r="H10" s="241"/>
      <c r="I10" s="7"/>
    </row>
    <row r="11" spans="2:9" ht="18.75" customHeight="1" thickBot="1"/>
    <row r="12" spans="2:9" ht="18.75" customHeight="1" thickBot="1">
      <c r="C12" s="228" t="s">
        <v>37</v>
      </c>
      <c r="D12" s="228"/>
      <c r="E12" s="228"/>
      <c r="F12" s="228"/>
      <c r="G12" s="228"/>
      <c r="H12" s="159" t="s">
        <v>42</v>
      </c>
      <c r="I12" s="8"/>
    </row>
    <row r="13" spans="2:9" ht="18.75" customHeight="1" thickBot="1"/>
    <row r="14" spans="2:9" ht="18.75" customHeight="1" thickBot="1">
      <c r="C14" s="228" t="s">
        <v>104</v>
      </c>
      <c r="D14" s="228"/>
      <c r="E14" s="228"/>
      <c r="F14" s="228"/>
      <c r="G14" s="228"/>
      <c r="H14" s="146" t="s">
        <v>33</v>
      </c>
      <c r="I14" s="143">
        <f>ROUND(I8*I10*I12,0)</f>
        <v>0</v>
      </c>
    </row>
    <row r="15" spans="2:9" ht="18.75" customHeight="1"/>
    <row r="16" spans="2:9" ht="18.75" customHeight="1">
      <c r="B16" s="33"/>
      <c r="C16" s="33"/>
      <c r="D16" s="33"/>
      <c r="E16" s="33"/>
      <c r="F16" s="33"/>
    </row>
    <row r="17" spans="1:9" ht="18.75" customHeight="1">
      <c r="B17" s="238" t="s">
        <v>44</v>
      </c>
      <c r="C17" s="238"/>
      <c r="D17" s="238"/>
      <c r="E17" s="238"/>
      <c r="F17" s="238"/>
      <c r="G17" s="238"/>
      <c r="H17" s="238"/>
      <c r="I17" s="238"/>
    </row>
    <row r="18" spans="1:9" ht="18.75" customHeight="1">
      <c r="A18" s="2" t="s">
        <v>34</v>
      </c>
      <c r="B18" s="238" t="s">
        <v>39</v>
      </c>
      <c r="C18" s="238"/>
      <c r="D18" s="238"/>
      <c r="E18" s="238"/>
      <c r="F18" s="238"/>
      <c r="G18" s="238"/>
      <c r="H18" s="238"/>
      <c r="I18" s="238"/>
    </row>
    <row r="19" spans="1:9" ht="18.75" customHeight="1">
      <c r="B19" s="3"/>
      <c r="C19" s="3"/>
      <c r="D19" s="3"/>
      <c r="E19" s="3"/>
      <c r="F19" s="3"/>
      <c r="G19" s="3"/>
      <c r="H19" s="3"/>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B17:I17"/>
    <mergeCell ref="B18:I18"/>
    <mergeCell ref="C10:H10"/>
    <mergeCell ref="G1:I1"/>
    <mergeCell ref="C5:E5"/>
    <mergeCell ref="C4:D4"/>
    <mergeCell ref="C14:G14"/>
    <mergeCell ref="B2:I2"/>
    <mergeCell ref="C6:I6"/>
    <mergeCell ref="C8:G8"/>
    <mergeCell ref="C12:G12"/>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tint="-0.499984740745262"/>
  </sheetPr>
  <dimension ref="A1:EP53"/>
  <sheetViews>
    <sheetView view="pageBreakPreview" topLeftCell="DB1" zoomScale="90" zoomScaleNormal="85" zoomScaleSheetLayoutView="90" workbookViewId="0">
      <selection activeCell="EN25" sqref="EN25"/>
    </sheetView>
  </sheetViews>
  <sheetFormatPr defaultColWidth="9" defaultRowHeight="15" customHeight="1"/>
  <cols>
    <col min="1" max="1" width="7.08984375" style="1" bestFit="1" customWidth="1"/>
    <col min="2" max="2" width="2.6328125" style="1" bestFit="1" customWidth="1"/>
    <col min="3" max="3" width="59.90625" style="1" bestFit="1" customWidth="1"/>
    <col min="4" max="4" width="9" style="1"/>
    <col min="5" max="5" width="3.6328125" style="1" customWidth="1"/>
    <col min="6" max="6" width="7.08984375" style="1" bestFit="1" customWidth="1"/>
    <col min="7" max="7" width="2.6328125" style="1" bestFit="1" customWidth="1"/>
    <col min="8" max="8" width="48.26953125" style="1" bestFit="1" customWidth="1"/>
    <col min="9" max="9" width="9" style="1" bestFit="1" customWidth="1"/>
    <col min="10" max="10" width="3.6328125" style="1" customWidth="1"/>
    <col min="11" max="11" width="7.08984375" style="1" bestFit="1" customWidth="1"/>
    <col min="12" max="12" width="2.6328125" style="1" bestFit="1" customWidth="1"/>
    <col min="13" max="13" width="26" style="1" bestFit="1" customWidth="1"/>
    <col min="14" max="14" width="11.6328125" style="22" bestFit="1" customWidth="1"/>
    <col min="15" max="15" width="3.6328125" style="1" customWidth="1"/>
    <col min="16" max="16" width="7.08984375" style="1" bestFit="1" customWidth="1"/>
    <col min="17" max="17" width="2.6328125" style="1" bestFit="1" customWidth="1"/>
    <col min="18" max="18" width="30.08984375" style="1" bestFit="1" customWidth="1"/>
    <col min="19" max="19" width="12.7265625" style="1" bestFit="1" customWidth="1"/>
    <col min="20" max="20" width="3.6328125" style="1" customWidth="1"/>
    <col min="21" max="21" width="7.08984375" style="1" bestFit="1" customWidth="1"/>
    <col min="22" max="22" width="2.6328125" style="1" bestFit="1" customWidth="1"/>
    <col min="23" max="23" width="28.6328125" style="1" bestFit="1" customWidth="1"/>
    <col min="24" max="24" width="11.6328125" style="1" bestFit="1" customWidth="1"/>
    <col min="25" max="25" width="26.26953125" style="1" bestFit="1" customWidth="1"/>
    <col min="26" max="26" width="3.6328125" style="1" customWidth="1"/>
    <col min="27" max="27" width="7.08984375" style="1" bestFit="1" customWidth="1"/>
    <col min="28" max="28" width="2.6328125" style="1" bestFit="1" customWidth="1"/>
    <col min="29" max="29" width="33.90625" style="1" bestFit="1" customWidth="1"/>
    <col min="30" max="30" width="3.6328125" style="1" customWidth="1"/>
    <col min="31" max="31" width="7.08984375" style="1" bestFit="1" customWidth="1"/>
    <col min="32" max="32" width="2.6328125" style="1" bestFit="1" customWidth="1"/>
    <col min="33" max="33" width="32.7265625" style="1" bestFit="1" customWidth="1"/>
    <col min="34" max="34" width="3.6328125" style="1" customWidth="1"/>
    <col min="35" max="35" width="7.08984375" style="1" bestFit="1" customWidth="1"/>
    <col min="36" max="36" width="2.6328125" style="1" bestFit="1" customWidth="1"/>
    <col min="37" max="37" width="27.6328125" style="1" bestFit="1" customWidth="1"/>
    <col min="38" max="38" width="3.6328125" style="1" customWidth="1"/>
    <col min="39" max="39" width="7.08984375" style="1" bestFit="1" customWidth="1"/>
    <col min="40" max="40" width="2.6328125" style="1" bestFit="1" customWidth="1"/>
    <col min="41" max="41" width="38.26953125" style="1" bestFit="1" customWidth="1"/>
    <col min="42" max="42" width="9" style="1" bestFit="1" customWidth="1"/>
    <col min="43" max="43" width="3.6328125" style="1" customWidth="1"/>
    <col min="44" max="44" width="7.08984375" style="1" bestFit="1" customWidth="1"/>
    <col min="45" max="45" width="3.453125" style="1" bestFit="1" customWidth="1"/>
    <col min="46" max="46" width="38.26953125" style="1" bestFit="1" customWidth="1"/>
    <col min="47" max="47" width="9" style="1" bestFit="1" customWidth="1"/>
    <col min="48" max="48" width="3.6328125" style="1" customWidth="1"/>
    <col min="49" max="49" width="7.08984375" style="1" bestFit="1" customWidth="1"/>
    <col min="50" max="50" width="3.453125" style="1" bestFit="1" customWidth="1"/>
    <col min="51" max="51" width="29.6328125" style="1" bestFit="1" customWidth="1"/>
    <col min="52" max="52" width="3.6328125" style="1" customWidth="1"/>
    <col min="53" max="53" width="7.08984375" style="1" bestFit="1" customWidth="1"/>
    <col min="54" max="54" width="3.453125" style="1" bestFit="1" customWidth="1"/>
    <col min="55" max="55" width="25.7265625" style="1" bestFit="1" customWidth="1"/>
    <col min="56" max="56" width="5.90625" style="1" bestFit="1" customWidth="1"/>
    <col min="57" max="57" width="3.6328125" style="1" customWidth="1"/>
    <col min="58" max="58" width="7.08984375" style="1" bestFit="1" customWidth="1"/>
    <col min="59" max="59" width="3.453125" style="1" bestFit="1" customWidth="1"/>
    <col min="60" max="60" width="80.90625" style="1" bestFit="1" customWidth="1"/>
    <col min="61" max="61" width="10.26953125" style="1" bestFit="1" customWidth="1"/>
    <col min="62" max="62" width="3.6328125" style="1" customWidth="1"/>
    <col min="63" max="63" width="7.08984375" style="1" bestFit="1" customWidth="1"/>
    <col min="64" max="64" width="3.453125" style="1" bestFit="1" customWidth="1"/>
    <col min="65" max="65" width="58.36328125" style="1" bestFit="1" customWidth="1"/>
    <col min="66" max="66" width="11.36328125" style="1" bestFit="1" customWidth="1"/>
    <col min="67" max="67" width="9" style="1"/>
    <col min="68" max="68" width="3.453125" style="1" customWidth="1"/>
    <col min="69" max="69" width="7.08984375" style="1" bestFit="1" customWidth="1"/>
    <col min="70" max="70" width="3.453125" style="1" customWidth="1"/>
    <col min="71" max="71" width="58.36328125" style="1" bestFit="1" customWidth="1"/>
    <col min="72" max="72" width="12.6328125" style="1" bestFit="1" customWidth="1"/>
    <col min="73" max="73" width="9" style="1" bestFit="1" customWidth="1"/>
    <col min="74" max="74" width="3.7265625" style="1" customWidth="1"/>
    <col min="75" max="75" width="7.08984375" style="1" bestFit="1" customWidth="1"/>
    <col min="76" max="76" width="3.453125" style="1" customWidth="1"/>
    <col min="77" max="77" width="58.36328125" style="1" bestFit="1" customWidth="1"/>
    <col min="78" max="78" width="12.6328125" style="1" bestFit="1" customWidth="1"/>
    <col min="79" max="79" width="9" style="1" bestFit="1" customWidth="1"/>
    <col min="80" max="80" width="3.7265625" style="1" customWidth="1"/>
    <col min="81" max="81" width="7.08984375" style="1" bestFit="1" customWidth="1"/>
    <col min="82" max="82" width="3.453125" style="1" customWidth="1"/>
    <col min="83" max="83" width="58.36328125" style="1" bestFit="1" customWidth="1"/>
    <col min="84" max="84" width="11.36328125" style="1" bestFit="1" customWidth="1"/>
    <col min="85" max="85" width="9" style="1" bestFit="1" customWidth="1"/>
    <col min="86" max="86" width="3.7265625" style="1" customWidth="1"/>
    <col min="87" max="87" width="7.08984375" style="1" bestFit="1" customWidth="1"/>
    <col min="88" max="88" width="3.453125" style="1" customWidth="1"/>
    <col min="89" max="89" width="23.453125" style="1" bestFit="1" customWidth="1"/>
    <col min="90" max="90" width="3.453125" style="1" customWidth="1"/>
    <col min="91" max="91" width="7.08984375" style="1" bestFit="1" customWidth="1"/>
    <col min="92" max="92" width="3.453125" style="1" customWidth="1"/>
    <col min="93" max="93" width="21.36328125" style="1" bestFit="1" customWidth="1"/>
    <col min="94" max="94" width="3.453125" style="1" customWidth="1"/>
    <col min="95" max="95" width="7.08984375" style="1" bestFit="1" customWidth="1"/>
    <col min="96" max="96" width="3.453125" style="1" customWidth="1"/>
    <col min="97" max="97" width="23.453125" style="1" bestFit="1" customWidth="1"/>
    <col min="98" max="98" width="3.453125" style="1" customWidth="1"/>
    <col min="99" max="99" width="7.08984375" style="1" customWidth="1"/>
    <col min="100" max="100" width="3.453125" style="1" customWidth="1"/>
    <col min="101" max="101" width="21.36328125" style="1" bestFit="1" customWidth="1"/>
    <col min="102" max="102" width="5.26953125" style="1" bestFit="1" customWidth="1"/>
    <col min="103" max="103" width="3.6328125" style="1" customWidth="1"/>
    <col min="104" max="104" width="7.08984375" style="1" bestFit="1" customWidth="1"/>
    <col min="105" max="105" width="3.453125" style="1" customWidth="1"/>
    <col min="106" max="106" width="39.90625" style="1" bestFit="1" customWidth="1"/>
    <col min="107" max="107" width="9.453125" style="1" bestFit="1" customWidth="1"/>
    <col min="108" max="108" width="10.26953125" style="1" bestFit="1" customWidth="1"/>
    <col min="109" max="109" width="3.453125" style="1" customWidth="1"/>
    <col min="110" max="110" width="7.08984375" style="1" bestFit="1" customWidth="1"/>
    <col min="111" max="111" width="3.453125" style="1" customWidth="1"/>
    <col min="112" max="112" width="66.7265625" style="1" bestFit="1" customWidth="1"/>
    <col min="113" max="114" width="9" style="1" bestFit="1" customWidth="1"/>
    <col min="115" max="115" width="3.453125" style="1" customWidth="1"/>
    <col min="116" max="116" width="7.08984375" style="1" bestFit="1" customWidth="1"/>
    <col min="117" max="117" width="3.453125" style="1" customWidth="1"/>
    <col min="118" max="118" width="40.08984375" style="1" bestFit="1" customWidth="1"/>
    <col min="119" max="119" width="12.08984375" style="22" bestFit="1" customWidth="1"/>
    <col min="120" max="120" width="3.453125" style="1" customWidth="1"/>
    <col min="121" max="121" width="7.08984375" style="1" bestFit="1" customWidth="1"/>
    <col min="122" max="122" width="3.453125" style="1" customWidth="1"/>
    <col min="123" max="123" width="24.08984375" style="1" bestFit="1" customWidth="1"/>
    <col min="124" max="124" width="3.453125" style="1" customWidth="1"/>
    <col min="125" max="125" width="7.08984375" style="1" bestFit="1" customWidth="1"/>
    <col min="126" max="126" width="3.453125" style="1" customWidth="1"/>
    <col min="127" max="127" width="27.6328125" style="1" bestFit="1" customWidth="1"/>
    <col min="128" max="128" width="3.453125" style="1" customWidth="1"/>
    <col min="129" max="129" width="7.08984375" style="1" bestFit="1" customWidth="1"/>
    <col min="130" max="130" width="3.453125" style="1" customWidth="1"/>
    <col min="131" max="131" width="27.6328125" style="1" bestFit="1" customWidth="1"/>
    <col min="132" max="132" width="3.453125" style="1" customWidth="1"/>
    <col min="133" max="133" width="7.08984375" style="1" bestFit="1" customWidth="1"/>
    <col min="134" max="134" width="3.453125" style="1" customWidth="1"/>
    <col min="135" max="135" width="27.6328125" style="1" bestFit="1" customWidth="1"/>
    <col min="136" max="136" width="3.453125" style="1" customWidth="1"/>
    <col min="137" max="137" width="7.08984375" style="1" bestFit="1" customWidth="1"/>
    <col min="138" max="138" width="3.453125" style="1" customWidth="1"/>
    <col min="139" max="139" width="27.6328125" style="1" bestFit="1" customWidth="1"/>
    <col min="140" max="140" width="3.453125" style="1" customWidth="1"/>
    <col min="141" max="141" width="7.08984375" style="1" bestFit="1" customWidth="1"/>
    <col min="142" max="142" width="3.453125" style="1" customWidth="1"/>
    <col min="143" max="143" width="58.36328125" style="1" bestFit="1" customWidth="1"/>
    <col min="144" max="144" width="11.36328125" style="1" bestFit="1" customWidth="1"/>
    <col min="145" max="145" width="9" style="1" bestFit="1" customWidth="1"/>
    <col min="146" max="146" width="3.7265625" style="1" customWidth="1"/>
    <col min="147" max="16384" width="9" style="1"/>
  </cols>
  <sheetData>
    <row r="1" spans="1:146" ht="15" customHeight="1">
      <c r="A1" s="1" t="s">
        <v>257</v>
      </c>
      <c r="B1" s="1">
        <v>1</v>
      </c>
      <c r="C1" s="1" t="s">
        <v>0</v>
      </c>
      <c r="F1" s="1" t="s">
        <v>258</v>
      </c>
      <c r="G1" s="1">
        <v>2</v>
      </c>
      <c r="H1" s="1" t="s">
        <v>1</v>
      </c>
      <c r="K1" s="1" t="s">
        <v>258</v>
      </c>
      <c r="L1" s="1">
        <v>3</v>
      </c>
      <c r="M1" s="1" t="s">
        <v>2</v>
      </c>
      <c r="P1" s="1" t="s">
        <v>258</v>
      </c>
      <c r="Q1" s="1">
        <v>4</v>
      </c>
      <c r="R1" s="1" t="s">
        <v>3</v>
      </c>
      <c r="U1" s="1" t="s">
        <v>258</v>
      </c>
      <c r="V1" s="1">
        <v>5</v>
      </c>
      <c r="W1" s="1" t="s">
        <v>4</v>
      </c>
      <c r="AA1" s="1" t="s">
        <v>258</v>
      </c>
      <c r="AB1" s="1">
        <v>6</v>
      </c>
      <c r="AC1" s="1" t="s">
        <v>79</v>
      </c>
      <c r="AE1" s="1" t="s">
        <v>258</v>
      </c>
      <c r="AF1" s="1">
        <v>7</v>
      </c>
      <c r="AG1" s="1" t="s">
        <v>5</v>
      </c>
      <c r="AI1" s="1" t="s">
        <v>258</v>
      </c>
      <c r="AJ1" s="1">
        <v>8</v>
      </c>
      <c r="AK1" s="1" t="s">
        <v>6</v>
      </c>
      <c r="AM1" s="1" t="s">
        <v>258</v>
      </c>
      <c r="AN1" s="1">
        <v>9</v>
      </c>
      <c r="AO1" s="1" t="s">
        <v>7</v>
      </c>
      <c r="AR1" s="1" t="s">
        <v>258</v>
      </c>
      <c r="AS1" s="1">
        <v>10</v>
      </c>
      <c r="AT1" s="1" t="s">
        <v>8</v>
      </c>
      <c r="AW1" s="1" t="s">
        <v>258</v>
      </c>
      <c r="AX1" s="1">
        <v>11</v>
      </c>
      <c r="AY1" s="1" t="s">
        <v>9</v>
      </c>
      <c r="BA1" s="1" t="s">
        <v>258</v>
      </c>
      <c r="BB1" s="1">
        <v>12</v>
      </c>
      <c r="BC1" s="1" t="s">
        <v>10</v>
      </c>
      <c r="BF1" s="1" t="s">
        <v>258</v>
      </c>
      <c r="BG1" s="1">
        <v>13</v>
      </c>
      <c r="BH1" s="162" t="s">
        <v>11</v>
      </c>
      <c r="BK1" s="1" t="s">
        <v>257</v>
      </c>
      <c r="BL1" s="1">
        <v>14</v>
      </c>
      <c r="BM1" s="1" t="s">
        <v>12</v>
      </c>
      <c r="BQ1" s="1" t="s">
        <v>257</v>
      </c>
      <c r="BR1" s="1">
        <v>15</v>
      </c>
      <c r="BS1" s="1" t="s">
        <v>13</v>
      </c>
      <c r="BW1" s="1" t="s">
        <v>257</v>
      </c>
      <c r="BX1" s="1">
        <v>16</v>
      </c>
      <c r="BY1" s="1" t="s">
        <v>372</v>
      </c>
      <c r="CC1" s="1" t="s">
        <v>257</v>
      </c>
      <c r="CD1" s="1">
        <v>30</v>
      </c>
      <c r="CE1" s="1" t="s">
        <v>340</v>
      </c>
      <c r="CI1" s="1" t="s">
        <v>258</v>
      </c>
      <c r="CJ1" s="1">
        <v>17</v>
      </c>
      <c r="CK1" s="1" t="s">
        <v>14</v>
      </c>
      <c r="CM1" s="1" t="s">
        <v>258</v>
      </c>
      <c r="CN1" s="1">
        <v>18</v>
      </c>
      <c r="CO1" s="1" t="s">
        <v>15</v>
      </c>
      <c r="CQ1" s="1" t="s">
        <v>258</v>
      </c>
      <c r="CR1" s="1">
        <v>19</v>
      </c>
      <c r="CS1" s="1" t="s">
        <v>16</v>
      </c>
      <c r="CU1" s="1" t="s">
        <v>257</v>
      </c>
      <c r="CV1" s="1">
        <v>20</v>
      </c>
      <c r="CW1" s="1" t="s">
        <v>17</v>
      </c>
      <c r="CZ1" s="1" t="s">
        <v>267</v>
      </c>
      <c r="DA1" s="1">
        <v>22</v>
      </c>
      <c r="DB1" s="1" t="s">
        <v>390</v>
      </c>
      <c r="DF1" s="1" t="s">
        <v>267</v>
      </c>
      <c r="DG1" s="1">
        <v>23</v>
      </c>
      <c r="DH1" s="1" t="s">
        <v>275</v>
      </c>
      <c r="DL1" s="1" t="s">
        <v>267</v>
      </c>
      <c r="DM1" s="1">
        <v>24</v>
      </c>
      <c r="DN1" s="1" t="s">
        <v>297</v>
      </c>
      <c r="DQ1" s="1" t="s">
        <v>267</v>
      </c>
      <c r="DR1" s="1">
        <v>25</v>
      </c>
      <c r="DS1" s="1" t="s">
        <v>298</v>
      </c>
      <c r="DU1" s="1" t="s">
        <v>267</v>
      </c>
      <c r="DV1" s="1">
        <v>26</v>
      </c>
      <c r="DW1" s="1" t="s">
        <v>303</v>
      </c>
      <c r="DY1" s="1" t="s">
        <v>267</v>
      </c>
      <c r="DZ1" s="1">
        <v>27</v>
      </c>
      <c r="EA1" s="1" t="s">
        <v>305</v>
      </c>
      <c r="EC1" s="1" t="s">
        <v>267</v>
      </c>
      <c r="ED1" s="1">
        <v>28</v>
      </c>
      <c r="EE1" s="1" t="s">
        <v>316</v>
      </c>
      <c r="EG1" s="1" t="s">
        <v>267</v>
      </c>
      <c r="EH1" s="1">
        <v>29</v>
      </c>
      <c r="EI1" s="1" t="s">
        <v>317</v>
      </c>
      <c r="EK1" s="1" t="s">
        <v>257</v>
      </c>
      <c r="EL1" s="1">
        <v>31</v>
      </c>
      <c r="EM1" s="1" t="s">
        <v>391</v>
      </c>
    </row>
    <row r="3" spans="1:146" s="71" customFormat="1" ht="15" customHeight="1">
      <c r="C3" s="72"/>
      <c r="D3" s="72" t="s">
        <v>168</v>
      </c>
      <c r="H3" s="72"/>
      <c r="I3" s="72" t="s">
        <v>168</v>
      </c>
      <c r="M3" s="72"/>
      <c r="N3" s="77" t="s">
        <v>172</v>
      </c>
      <c r="R3" s="72"/>
      <c r="S3" s="77" t="s">
        <v>172</v>
      </c>
      <c r="W3" s="72" t="s">
        <v>168</v>
      </c>
      <c r="AC3" s="72" t="s">
        <v>168</v>
      </c>
      <c r="AG3" s="72" t="s">
        <v>168</v>
      </c>
      <c r="AK3" s="72" t="s">
        <v>168</v>
      </c>
      <c r="AO3" s="72"/>
      <c r="AP3" s="72" t="s">
        <v>168</v>
      </c>
      <c r="AT3" s="72"/>
      <c r="AU3" s="72" t="s">
        <v>168</v>
      </c>
      <c r="AY3" s="72" t="s">
        <v>243</v>
      </c>
      <c r="BC3" s="71" t="s">
        <v>179</v>
      </c>
      <c r="BH3" s="71" t="s">
        <v>347</v>
      </c>
      <c r="BY3" s="1" t="s">
        <v>397</v>
      </c>
      <c r="CK3" s="72" t="s">
        <v>168</v>
      </c>
      <c r="CO3" s="72" t="s">
        <v>259</v>
      </c>
      <c r="CS3" s="72" t="s">
        <v>168</v>
      </c>
      <c r="CW3" s="72"/>
      <c r="CX3" s="72" t="s">
        <v>265</v>
      </c>
      <c r="DB3" s="72"/>
      <c r="DC3" s="72" t="s">
        <v>265</v>
      </c>
      <c r="DD3" s="72" t="s">
        <v>272</v>
      </c>
      <c r="DH3" s="77"/>
      <c r="DI3" s="77" t="s">
        <v>168</v>
      </c>
      <c r="DJ3" s="77" t="s">
        <v>172</v>
      </c>
      <c r="DN3" s="72"/>
      <c r="DO3" s="77" t="s">
        <v>269</v>
      </c>
      <c r="DS3" s="72" t="s">
        <v>269</v>
      </c>
      <c r="DW3" s="72" t="s">
        <v>304</v>
      </c>
      <c r="EA3" s="72" t="s">
        <v>304</v>
      </c>
      <c r="EE3" s="72" t="s">
        <v>168</v>
      </c>
      <c r="EI3" s="72" t="s">
        <v>168</v>
      </c>
    </row>
    <row r="4" spans="1:146" ht="15" customHeight="1">
      <c r="C4" s="74" t="s">
        <v>49</v>
      </c>
      <c r="D4" s="75">
        <v>150</v>
      </c>
      <c r="H4" s="73" t="s">
        <v>59</v>
      </c>
      <c r="I4" s="75">
        <v>150</v>
      </c>
      <c r="M4" s="73" t="s">
        <v>64</v>
      </c>
      <c r="N4" s="163">
        <v>49168000</v>
      </c>
      <c r="R4" s="73" t="s">
        <v>61</v>
      </c>
      <c r="S4" s="163">
        <v>172196000</v>
      </c>
      <c r="W4" s="75">
        <v>2300</v>
      </c>
      <c r="AC4" s="75">
        <v>150</v>
      </c>
      <c r="AG4" s="75">
        <v>300</v>
      </c>
      <c r="AK4" s="75">
        <v>20</v>
      </c>
      <c r="AO4" s="73" t="s">
        <v>84</v>
      </c>
      <c r="AP4" s="75">
        <v>1300</v>
      </c>
      <c r="AQ4" s="22"/>
      <c r="AT4" s="73" t="s">
        <v>84</v>
      </c>
      <c r="AU4" s="75">
        <v>500</v>
      </c>
      <c r="AY4" s="73">
        <v>10</v>
      </c>
      <c r="BC4" s="72" t="s">
        <v>168</v>
      </c>
      <c r="BG4" s="52"/>
      <c r="BH4" s="73"/>
      <c r="BI4" s="72" t="s">
        <v>177</v>
      </c>
      <c r="BM4" s="1" t="s">
        <v>345</v>
      </c>
      <c r="CK4" s="75">
        <v>100</v>
      </c>
      <c r="CO4" s="164">
        <v>67369000</v>
      </c>
      <c r="CS4" s="75">
        <v>100</v>
      </c>
      <c r="CW4" s="73" t="s">
        <v>201</v>
      </c>
      <c r="CX4" s="73">
        <v>100</v>
      </c>
      <c r="DB4" s="74" t="s">
        <v>271</v>
      </c>
      <c r="DC4" s="75">
        <v>2300</v>
      </c>
      <c r="DD4" s="169">
        <v>43500</v>
      </c>
      <c r="DH4" s="73" t="s">
        <v>276</v>
      </c>
      <c r="DI4" s="267">
        <v>2300</v>
      </c>
      <c r="DJ4" s="220">
        <v>44100</v>
      </c>
      <c r="DN4" s="73" t="s">
        <v>281</v>
      </c>
      <c r="DO4" s="165">
        <v>935712000</v>
      </c>
      <c r="DS4" s="165">
        <v>45800</v>
      </c>
      <c r="DW4" s="73">
        <v>80</v>
      </c>
      <c r="EA4" s="75">
        <v>96686000</v>
      </c>
      <c r="EE4" s="73">
        <v>80</v>
      </c>
      <c r="EI4" s="73">
        <v>150</v>
      </c>
    </row>
    <row r="5" spans="1:146" ht="15" customHeight="1">
      <c r="C5" s="74" t="s">
        <v>50</v>
      </c>
      <c r="D5" s="75">
        <v>100</v>
      </c>
      <c r="H5" s="73" t="s">
        <v>47</v>
      </c>
      <c r="I5" s="75">
        <v>300</v>
      </c>
      <c r="R5" s="73" t="s">
        <v>62</v>
      </c>
      <c r="S5" s="163">
        <v>108443000</v>
      </c>
      <c r="AC5" s="22"/>
      <c r="AD5" s="22"/>
      <c r="AG5" s="22"/>
      <c r="AO5" s="73" t="s">
        <v>85</v>
      </c>
      <c r="AP5" s="75">
        <v>800</v>
      </c>
      <c r="AQ5" s="22"/>
      <c r="AT5" s="73" t="s">
        <v>85</v>
      </c>
      <c r="AU5" s="75">
        <v>300</v>
      </c>
      <c r="BC5" s="75">
        <v>300</v>
      </c>
      <c r="BG5" s="52"/>
      <c r="BH5" s="73" t="s">
        <v>96</v>
      </c>
      <c r="BI5" s="75">
        <v>150</v>
      </c>
      <c r="BM5" s="1" t="s">
        <v>346</v>
      </c>
      <c r="CW5" s="73" t="s">
        <v>202</v>
      </c>
      <c r="CX5" s="73">
        <v>75</v>
      </c>
      <c r="DB5" s="74" t="s">
        <v>273</v>
      </c>
      <c r="DC5" s="75"/>
      <c r="DD5" s="169">
        <v>34293000</v>
      </c>
      <c r="DH5" s="73" t="s">
        <v>278</v>
      </c>
      <c r="DI5" s="267"/>
      <c r="DJ5" s="220">
        <v>209400</v>
      </c>
      <c r="DN5" s="73" t="s">
        <v>282</v>
      </c>
      <c r="DO5" s="165">
        <v>97574000</v>
      </c>
    </row>
    <row r="6" spans="1:146" ht="15" customHeight="1">
      <c r="C6" s="73" t="s">
        <v>54</v>
      </c>
      <c r="D6" s="75">
        <v>300</v>
      </c>
      <c r="R6" s="73" t="s">
        <v>63</v>
      </c>
      <c r="S6" s="163">
        <v>108443000</v>
      </c>
      <c r="W6" s="72" t="s">
        <v>176</v>
      </c>
      <c r="X6" s="72" t="s">
        <v>169</v>
      </c>
      <c r="Y6" s="73"/>
      <c r="AO6" s="73" t="s">
        <v>86</v>
      </c>
      <c r="AP6" s="75">
        <v>4000</v>
      </c>
      <c r="AQ6" s="22"/>
      <c r="AY6" s="72" t="s">
        <v>168</v>
      </c>
      <c r="BC6" s="34"/>
      <c r="BH6" s="73" t="s">
        <v>97</v>
      </c>
      <c r="BI6" s="75">
        <v>300</v>
      </c>
      <c r="BM6" s="1" t="s">
        <v>398</v>
      </c>
      <c r="DH6" s="73" t="s">
        <v>279</v>
      </c>
      <c r="DI6" s="267"/>
      <c r="DJ6" s="220">
        <v>209400</v>
      </c>
      <c r="DN6" s="73" t="s">
        <v>283</v>
      </c>
      <c r="DO6" s="165">
        <v>15986000</v>
      </c>
    </row>
    <row r="7" spans="1:146" ht="15" customHeight="1">
      <c r="C7" s="73" t="s">
        <v>55</v>
      </c>
      <c r="D7" s="75">
        <v>200</v>
      </c>
      <c r="H7" s="72" t="s">
        <v>171</v>
      </c>
      <c r="I7" s="72" t="s">
        <v>169</v>
      </c>
      <c r="W7" s="72"/>
      <c r="X7" s="75">
        <v>30</v>
      </c>
      <c r="Y7" s="73" t="s">
        <v>67</v>
      </c>
      <c r="AY7" s="75">
        <v>130</v>
      </c>
      <c r="BC7" s="1" t="s">
        <v>180</v>
      </c>
      <c r="BH7" s="79"/>
      <c r="BI7" s="34"/>
      <c r="BS7" s="75" t="s">
        <v>24</v>
      </c>
      <c r="BT7" s="182" t="s">
        <v>168</v>
      </c>
      <c r="BU7" s="182" t="s">
        <v>172</v>
      </c>
      <c r="BV7" s="125"/>
      <c r="BY7" s="75" t="s">
        <v>24</v>
      </c>
      <c r="BZ7" s="208" t="s">
        <v>168</v>
      </c>
      <c r="CA7" s="208" t="s">
        <v>172</v>
      </c>
      <c r="CB7" s="125"/>
      <c r="CE7" s="34"/>
      <c r="CF7" s="125"/>
      <c r="CG7" s="125"/>
      <c r="CH7" s="125"/>
      <c r="DH7" s="73" t="s">
        <v>277</v>
      </c>
      <c r="DI7" s="267"/>
      <c r="DJ7" s="221">
        <v>33700</v>
      </c>
      <c r="DN7" s="73" t="s">
        <v>284</v>
      </c>
      <c r="DO7" s="165">
        <v>15986000</v>
      </c>
      <c r="EM7" s="172"/>
      <c r="EN7" s="125"/>
      <c r="EO7" s="125"/>
      <c r="EP7" s="125"/>
    </row>
    <row r="8" spans="1:146" ht="15" customHeight="1">
      <c r="H8" s="76">
        <v>0</v>
      </c>
      <c r="I8" s="75">
        <v>0</v>
      </c>
      <c r="W8" s="71"/>
      <c r="BC8" s="72" t="s">
        <v>243</v>
      </c>
      <c r="BE8" s="104"/>
      <c r="BH8" s="1" t="s">
        <v>348</v>
      </c>
      <c r="BI8" s="34"/>
      <c r="BS8" s="128" t="s">
        <v>276</v>
      </c>
      <c r="BT8" s="270">
        <v>2300</v>
      </c>
      <c r="BU8" s="220">
        <v>44100</v>
      </c>
      <c r="BV8" s="183"/>
      <c r="BY8" s="128" t="s">
        <v>276</v>
      </c>
      <c r="BZ8" s="205">
        <v>2300</v>
      </c>
      <c r="CA8" s="220">
        <v>44100</v>
      </c>
      <c r="CB8" s="207"/>
      <c r="CE8" s="161"/>
      <c r="CF8" s="266"/>
      <c r="CG8" s="34"/>
      <c r="CH8" s="34"/>
      <c r="DH8" s="73" t="s">
        <v>280</v>
      </c>
      <c r="DI8" s="267"/>
      <c r="DJ8" s="221">
        <v>160000</v>
      </c>
      <c r="DN8" s="73" t="s">
        <v>285</v>
      </c>
      <c r="DO8" s="165">
        <v>15986000</v>
      </c>
      <c r="EM8" s="161"/>
      <c r="EN8" s="266"/>
      <c r="EO8" s="172"/>
      <c r="EP8" s="172"/>
    </row>
    <row r="9" spans="1:146" ht="15" customHeight="1">
      <c r="H9" s="76">
        <v>1</v>
      </c>
      <c r="I9" s="75">
        <f>1*$I$11</f>
        <v>15</v>
      </c>
      <c r="N9" s="1"/>
      <c r="W9" s="72" t="s">
        <v>175</v>
      </c>
      <c r="X9" s="72" t="s">
        <v>169</v>
      </c>
      <c r="Y9" s="73"/>
      <c r="AC9" s="22"/>
      <c r="AD9" s="22"/>
      <c r="BC9" s="73">
        <v>50</v>
      </c>
      <c r="BE9" s="105"/>
      <c r="BH9" s="73"/>
      <c r="BI9" s="72" t="s">
        <v>169</v>
      </c>
      <c r="BS9" s="128" t="s">
        <v>274</v>
      </c>
      <c r="BT9" s="271"/>
      <c r="BU9" s="220">
        <v>209400</v>
      </c>
      <c r="BV9" s="183"/>
      <c r="BY9" s="128" t="s">
        <v>274</v>
      </c>
      <c r="BZ9" s="206"/>
      <c r="CA9" s="220">
        <v>209400</v>
      </c>
      <c r="CB9" s="207"/>
      <c r="CE9" s="161"/>
      <c r="CF9" s="266"/>
      <c r="CG9" s="34"/>
      <c r="CH9" s="34"/>
      <c r="DN9" s="73" t="s">
        <v>286</v>
      </c>
      <c r="DO9" s="165">
        <v>15986000</v>
      </c>
      <c r="EM9" s="161"/>
      <c r="EN9" s="266"/>
      <c r="EO9" s="172"/>
      <c r="EP9" s="172"/>
    </row>
    <row r="10" spans="1:146" ht="15" customHeight="1">
      <c r="H10" s="76" t="s">
        <v>57</v>
      </c>
      <c r="I10" s="75">
        <f>2*I11</f>
        <v>30</v>
      </c>
      <c r="N10" s="1"/>
      <c r="W10" s="75">
        <v>0</v>
      </c>
      <c r="X10" s="73">
        <f>W10*$X$22</f>
        <v>0</v>
      </c>
      <c r="Y10" s="268" t="s">
        <v>173</v>
      </c>
      <c r="BE10" s="105"/>
      <c r="BH10" s="73" t="str">
        <f>"（ア）1床ごとの病室面積を6.4 ㎡以上かつ1床当たりの病棟面積を18㎡以上確保"&amp;"（"&amp;BI10&amp;"㎡／床）"</f>
        <v>（ア）1床ごとの病室面積を6.4 ㎡以上かつ1床当たりの病棟面積を18㎡以上確保（25㎡／床）</v>
      </c>
      <c r="BI10" s="75">
        <v>25</v>
      </c>
      <c r="DN10" s="73" t="s">
        <v>287</v>
      </c>
      <c r="DO10" s="165">
        <v>15986000</v>
      </c>
      <c r="EM10" s="1" t="s">
        <v>404</v>
      </c>
    </row>
    <row r="11" spans="1:146" ht="15" customHeight="1">
      <c r="H11" s="76" t="s">
        <v>170</v>
      </c>
      <c r="I11" s="75">
        <v>15</v>
      </c>
      <c r="N11" s="1"/>
      <c r="W11" s="75">
        <v>1</v>
      </c>
      <c r="X11" s="73">
        <f>W11*$X$22</f>
        <v>15</v>
      </c>
      <c r="Y11" s="268"/>
      <c r="BC11" s="73"/>
      <c r="BD11" s="72" t="s">
        <v>169</v>
      </c>
      <c r="BH11" s="73" t="str">
        <f>"（イ）1床ごとの病室面積を5.8 ㎡以上かつ1床当たりの病棟面積を16㎡以上確保"&amp;"（"&amp;BI11&amp;"㎡／床）"</f>
        <v>（イ）1床ごとの病室面積を5.8 ㎡以上かつ1床当たりの病棟面積を16㎡以上確保（15㎡／床）</v>
      </c>
      <c r="BI11" s="75">
        <v>15</v>
      </c>
      <c r="BM11" s="75" t="s">
        <v>24</v>
      </c>
      <c r="BN11" s="193" t="s">
        <v>168</v>
      </c>
      <c r="BO11" s="193" t="s">
        <v>172</v>
      </c>
      <c r="BS11" s="73"/>
      <c r="BT11" s="182" t="s">
        <v>172</v>
      </c>
      <c r="BY11" s="73"/>
      <c r="BZ11" s="73" t="s">
        <v>172</v>
      </c>
      <c r="CE11" s="73"/>
      <c r="CF11" s="160" t="s">
        <v>172</v>
      </c>
      <c r="DN11" s="73" t="s">
        <v>288</v>
      </c>
      <c r="DO11" s="165">
        <v>823985000</v>
      </c>
      <c r="EM11" s="73"/>
      <c r="EN11" s="171" t="s">
        <v>172</v>
      </c>
    </row>
    <row r="12" spans="1:146" ht="15" customHeight="1">
      <c r="N12" s="1"/>
      <c r="W12" s="75">
        <v>2</v>
      </c>
      <c r="X12" s="73">
        <f>W12*$X$22</f>
        <v>30</v>
      </c>
      <c r="Y12" s="268"/>
      <c r="BC12" s="73" t="str">
        <f>"耐火構造（"&amp;BD12&amp;"㎡／床）"</f>
        <v>耐火構造（13.88㎡／床）</v>
      </c>
      <c r="BD12" s="78">
        <v>13.88</v>
      </c>
      <c r="BH12" s="73" t="str">
        <f>"（ア）整備区域の病床数を20％以上削減"&amp;"（"&amp;BI12&amp;"㎡／床）"</f>
        <v>（ア）整備区域の病床数を20％以上削減（25㎡／床）</v>
      </c>
      <c r="BI12" s="75">
        <v>25</v>
      </c>
      <c r="BM12" s="128" t="s">
        <v>276</v>
      </c>
      <c r="BN12" s="194">
        <v>2300</v>
      </c>
      <c r="BO12" s="220">
        <v>44100</v>
      </c>
      <c r="BS12" s="73" t="s">
        <v>253</v>
      </c>
      <c r="BT12" s="169">
        <v>45397000</v>
      </c>
      <c r="BY12" s="73" t="s">
        <v>337</v>
      </c>
      <c r="BZ12" s="196">
        <v>149535000</v>
      </c>
      <c r="CE12" s="73" t="s">
        <v>337</v>
      </c>
      <c r="CF12" s="75">
        <v>149535000</v>
      </c>
      <c r="DN12" s="73" t="s">
        <v>289</v>
      </c>
      <c r="DO12" s="165">
        <v>544381000</v>
      </c>
      <c r="EM12" s="73" t="s">
        <v>410</v>
      </c>
      <c r="EN12" s="75">
        <v>42200000</v>
      </c>
    </row>
    <row r="13" spans="1:146" ht="15" customHeight="1">
      <c r="N13" s="1"/>
      <c r="W13" s="75">
        <v>3</v>
      </c>
      <c r="X13" s="73">
        <f>W13*$X$22</f>
        <v>45</v>
      </c>
      <c r="Y13" s="268"/>
      <c r="AD13" s="22"/>
      <c r="BC13" s="73" t="str">
        <f>"ブロック・木造（"&amp;BD13&amp;"㎡／床）"</f>
        <v>ブロック・木造（12.56㎡／床）</v>
      </c>
      <c r="BD13" s="78">
        <v>12.56</v>
      </c>
      <c r="BH13" s="73" t="str">
        <f>"（イ）整備区域の病床数を20％未満削減する"&amp;"（"&amp;BI13&amp;"㎡／床）"</f>
        <v>（イ）整備区域の病床数を20％未満削減する（15㎡／床）</v>
      </c>
      <c r="BI13" s="75">
        <v>15</v>
      </c>
      <c r="BM13" s="128" t="s">
        <v>274</v>
      </c>
      <c r="BN13" s="195"/>
      <c r="BO13" s="220">
        <v>209400</v>
      </c>
      <c r="BS13" s="73" t="s">
        <v>337</v>
      </c>
      <c r="BT13" s="166">
        <v>149535000</v>
      </c>
      <c r="BY13" s="73" t="s">
        <v>254</v>
      </c>
      <c r="BZ13" s="196">
        <v>137802000</v>
      </c>
      <c r="CE13" s="73" t="s">
        <v>254</v>
      </c>
      <c r="CF13" s="75">
        <v>137802000</v>
      </c>
      <c r="DN13" s="73" t="s">
        <v>290</v>
      </c>
      <c r="DO13" s="165">
        <v>101345000</v>
      </c>
      <c r="EM13" s="73" t="s">
        <v>411</v>
      </c>
      <c r="EN13" s="75">
        <v>33300000</v>
      </c>
    </row>
    <row r="14" spans="1:146" ht="15" customHeight="1">
      <c r="N14" s="1"/>
      <c r="W14" s="80" t="s">
        <v>70</v>
      </c>
      <c r="X14" s="73">
        <f>4*$X$22</f>
        <v>60</v>
      </c>
      <c r="Y14" s="268"/>
      <c r="BS14" s="73" t="s">
        <v>254</v>
      </c>
      <c r="BT14" s="166">
        <v>137802000</v>
      </c>
      <c r="BY14" s="73" t="s">
        <v>338</v>
      </c>
      <c r="BZ14" s="196">
        <v>64800000</v>
      </c>
      <c r="CE14" s="73" t="s">
        <v>338</v>
      </c>
      <c r="CF14" s="127">
        <v>64800000</v>
      </c>
      <c r="DN14" s="73" t="s">
        <v>291</v>
      </c>
      <c r="DO14" s="165">
        <v>34254000</v>
      </c>
      <c r="EM14" s="73" t="s">
        <v>412</v>
      </c>
      <c r="EN14" s="127">
        <v>400000</v>
      </c>
    </row>
    <row r="15" spans="1:146" ht="15" customHeight="1">
      <c r="W15" s="75">
        <v>0</v>
      </c>
      <c r="X15" s="73">
        <f t="shared" ref="X15:X20" si="0">W15*$X$22</f>
        <v>0</v>
      </c>
      <c r="Y15" s="268" t="s">
        <v>174</v>
      </c>
      <c r="BH15" s="1" t="s">
        <v>347</v>
      </c>
      <c r="BS15" s="73" t="s">
        <v>255</v>
      </c>
      <c r="BT15" s="167" t="s">
        <v>256</v>
      </c>
      <c r="BY15" s="73" t="s">
        <v>339</v>
      </c>
      <c r="BZ15" s="196">
        <v>29883000</v>
      </c>
      <c r="CE15" s="73" t="s">
        <v>339</v>
      </c>
      <c r="CF15" s="127">
        <v>29883000</v>
      </c>
      <c r="DN15" s="73" t="s">
        <v>292</v>
      </c>
      <c r="DO15" s="165">
        <v>97574000</v>
      </c>
      <c r="EM15" s="73" t="s">
        <v>413</v>
      </c>
      <c r="EN15" s="127">
        <v>23100000</v>
      </c>
    </row>
    <row r="16" spans="1:146" ht="15" customHeight="1">
      <c r="W16" s="75">
        <v>1</v>
      </c>
      <c r="X16" s="73">
        <f t="shared" si="0"/>
        <v>15</v>
      </c>
      <c r="Y16" s="269"/>
      <c r="BH16" s="73"/>
      <c r="BI16" s="72" t="s">
        <v>172</v>
      </c>
      <c r="BM16" s="73"/>
      <c r="BN16" s="182" t="s">
        <v>172</v>
      </c>
      <c r="BS16" s="73" t="s">
        <v>23</v>
      </c>
      <c r="BT16" s="169">
        <v>78345000</v>
      </c>
      <c r="DN16" s="73" t="s">
        <v>293</v>
      </c>
      <c r="DO16" s="165">
        <v>15986000</v>
      </c>
      <c r="EM16" s="79"/>
      <c r="EN16" s="79"/>
    </row>
    <row r="17" spans="9:144" ht="15" customHeight="1">
      <c r="W17" s="75">
        <v>2</v>
      </c>
      <c r="X17" s="73">
        <f t="shared" si="0"/>
        <v>30</v>
      </c>
      <c r="Y17" s="269"/>
      <c r="BH17" s="73" t="str">
        <f>"電子カルテシステムの整備を実施"&amp;"（"&amp;TEXT(BI17,"###,###")&amp;"円／床）"</f>
        <v>電子カルテシステムの整備を実施（605,000円／床）</v>
      </c>
      <c r="BI17" s="75">
        <v>605000</v>
      </c>
      <c r="BM17" s="73" t="s">
        <v>253</v>
      </c>
      <c r="BN17" s="75">
        <v>160950000</v>
      </c>
      <c r="BS17" s="73" t="s">
        <v>338</v>
      </c>
      <c r="BT17" s="168">
        <v>64800000</v>
      </c>
      <c r="DN17" s="73" t="s">
        <v>294</v>
      </c>
      <c r="DO17" s="165">
        <v>15986000</v>
      </c>
      <c r="EM17" s="79"/>
      <c r="EN17" s="79"/>
    </row>
    <row r="18" spans="9:144" ht="15" customHeight="1">
      <c r="W18" s="75">
        <v>3</v>
      </c>
      <c r="X18" s="73">
        <f t="shared" si="0"/>
        <v>45</v>
      </c>
      <c r="Y18" s="269"/>
      <c r="BH18" s="73" t="s">
        <v>114</v>
      </c>
      <c r="BI18" s="75"/>
      <c r="BM18" s="73" t="s">
        <v>337</v>
      </c>
      <c r="BN18" s="75">
        <v>149535000</v>
      </c>
      <c r="BS18" s="73" t="s">
        <v>339</v>
      </c>
      <c r="BT18" s="168">
        <v>29883000</v>
      </c>
      <c r="CA18" s="79"/>
      <c r="DN18" s="73" t="s">
        <v>295</v>
      </c>
      <c r="DO18" s="165">
        <v>97574000</v>
      </c>
      <c r="EM18" s="79"/>
      <c r="EN18" s="79"/>
    </row>
    <row r="19" spans="9:144" ht="15" customHeight="1">
      <c r="I19" s="1" t="str">
        <f>IF(C7="","",IF(C6='DB（削除禁止）'!BM4,VLOOKUP(C7,3,FALSE),IF(C6='DB（削除禁止）'!BM5,VLOOKUP(C7,'DB（削除禁止）'!$BS$8:$BU$9,3,FALSE),IF(C6='DB（削除禁止）'!BY3,VLOOKUP(C7,'DB（削除禁止）'!$BM$8:$BO$10,3,FALSE),""))))</f>
        <v/>
      </c>
      <c r="W19" s="75">
        <v>4</v>
      </c>
      <c r="X19" s="73">
        <f t="shared" si="0"/>
        <v>60</v>
      </c>
      <c r="Y19" s="269"/>
      <c r="BM19" s="73" t="s">
        <v>254</v>
      </c>
      <c r="BN19" s="75">
        <v>137802000</v>
      </c>
      <c r="DN19" s="73" t="s">
        <v>296</v>
      </c>
      <c r="DO19" s="164">
        <v>935712000</v>
      </c>
    </row>
    <row r="20" spans="9:144" ht="15" customHeight="1">
      <c r="W20" s="75">
        <v>5</v>
      </c>
      <c r="X20" s="73">
        <f t="shared" si="0"/>
        <v>75</v>
      </c>
      <c r="Y20" s="269"/>
      <c r="BM20" s="73" t="s">
        <v>255</v>
      </c>
      <c r="BN20" s="75">
        <v>123809000</v>
      </c>
      <c r="BS20" s="79"/>
      <c r="BT20" s="79"/>
      <c r="BU20" s="79"/>
    </row>
    <row r="21" spans="9:144" ht="15" customHeight="1">
      <c r="W21" s="80" t="s">
        <v>69</v>
      </c>
      <c r="X21" s="73">
        <f>6*$X$22</f>
        <v>90</v>
      </c>
      <c r="Y21" s="269"/>
      <c r="BI21" s="72"/>
      <c r="BM21" s="73" t="s">
        <v>23</v>
      </c>
      <c r="BN21" s="75">
        <v>145151000</v>
      </c>
      <c r="BS21" s="207"/>
      <c r="BT21" s="125"/>
      <c r="BU21" s="125"/>
    </row>
    <row r="22" spans="9:144" ht="15" customHeight="1">
      <c r="W22" s="76" t="s">
        <v>170</v>
      </c>
      <c r="X22" s="75">
        <v>15</v>
      </c>
      <c r="Y22" s="73"/>
      <c r="AD22" s="22"/>
      <c r="BI22" s="75"/>
      <c r="BM22" s="73" t="s">
        <v>338</v>
      </c>
      <c r="BN22" s="127">
        <v>64800000</v>
      </c>
      <c r="BS22" s="161"/>
      <c r="BT22" s="266"/>
      <c r="BU22" s="217"/>
    </row>
    <row r="23" spans="9:144" ht="15" customHeight="1">
      <c r="X23" s="22"/>
      <c r="BI23" s="34"/>
      <c r="BM23" s="73" t="s">
        <v>339</v>
      </c>
      <c r="BN23" s="127">
        <v>29883000</v>
      </c>
      <c r="BS23" s="161"/>
      <c r="BT23" s="266"/>
      <c r="BU23" s="217"/>
    </row>
    <row r="24" spans="9:144" ht="15" customHeight="1">
      <c r="W24" s="73"/>
      <c r="X24" s="77" t="s">
        <v>172</v>
      </c>
      <c r="BH24" s="1" t="s">
        <v>349</v>
      </c>
      <c r="BI24" s="34"/>
      <c r="BM24" s="79"/>
      <c r="BN24" s="207"/>
      <c r="BS24" s="79"/>
      <c r="BT24" s="79"/>
      <c r="BU24" s="79"/>
      <c r="EA24"/>
      <c r="EB24"/>
    </row>
    <row r="25" spans="9:144" ht="15" customHeight="1">
      <c r="W25" s="73" t="s">
        <v>76</v>
      </c>
      <c r="X25" s="163">
        <v>78345000</v>
      </c>
      <c r="BH25" s="73"/>
      <c r="BI25" s="77" t="s">
        <v>169</v>
      </c>
      <c r="BM25" s="79"/>
      <c r="BN25" s="207"/>
      <c r="BS25" s="79"/>
      <c r="BT25" s="79"/>
      <c r="BU25" s="79"/>
      <c r="EA25"/>
      <c r="EB25"/>
    </row>
    <row r="26" spans="9:144" ht="15" customHeight="1">
      <c r="X26" s="22"/>
      <c r="BH26" s="73" t="str">
        <f>"陰圧化等空調整備を実施"&amp;"（"&amp;TEXT(BI26,"###,###")&amp;"㎡／床）"</f>
        <v>陰圧化等空調整備を実施（15㎡／床）</v>
      </c>
      <c r="BI26" s="75">
        <v>15</v>
      </c>
      <c r="BM26" s="79"/>
      <c r="BN26" s="184"/>
      <c r="BS26" s="79"/>
      <c r="BT26" s="218"/>
      <c r="BU26" s="79"/>
      <c r="EA26"/>
      <c r="EB26"/>
    </row>
    <row r="27" spans="9:144" ht="15" customHeight="1">
      <c r="W27" s="73"/>
      <c r="X27" s="77" t="s">
        <v>168</v>
      </c>
      <c r="Y27" s="72" t="s">
        <v>172</v>
      </c>
      <c r="BH27" s="73" t="s">
        <v>132</v>
      </c>
      <c r="BI27" s="75"/>
      <c r="BS27" s="79"/>
      <c r="BT27" s="218"/>
      <c r="BU27" s="79"/>
      <c r="EA27"/>
      <c r="EB27"/>
    </row>
    <row r="28" spans="9:144" ht="15" customHeight="1">
      <c r="W28" s="72" t="s">
        <v>78</v>
      </c>
      <c r="X28" s="73">
        <v>2300</v>
      </c>
      <c r="Y28" s="163">
        <v>43500</v>
      </c>
      <c r="BI28" s="34"/>
      <c r="BS28" s="79"/>
      <c r="BT28" s="79"/>
      <c r="BU28" s="79"/>
      <c r="BY28" s="79"/>
      <c r="BZ28" s="79"/>
      <c r="EA28"/>
      <c r="EB28"/>
    </row>
    <row r="29" spans="9:144" ht="15" customHeight="1">
      <c r="BH29" s="1" t="s">
        <v>352</v>
      </c>
      <c r="BM29" s="1" t="s">
        <v>402</v>
      </c>
      <c r="BS29" s="79"/>
      <c r="BT29" s="79"/>
      <c r="BU29" s="79"/>
      <c r="BY29" s="79"/>
      <c r="BZ29" s="79"/>
      <c r="EA29"/>
      <c r="EB29"/>
    </row>
    <row r="30" spans="9:144" ht="15" customHeight="1">
      <c r="X30" s="22"/>
      <c r="BG30" s="52"/>
      <c r="BH30" s="73"/>
      <c r="BI30" s="72" t="s">
        <v>169</v>
      </c>
      <c r="BM30" s="73"/>
      <c r="BN30" s="193" t="s">
        <v>172</v>
      </c>
      <c r="BS30" s="79"/>
      <c r="BT30" s="218"/>
      <c r="BU30" s="79"/>
      <c r="BY30" s="79"/>
      <c r="BZ30" s="79"/>
      <c r="EA30"/>
      <c r="EB30"/>
    </row>
    <row r="31" spans="9:144" ht="15" customHeight="1">
      <c r="BH31" s="73" t="s">
        <v>140</v>
      </c>
      <c r="BI31" s="75">
        <v>160</v>
      </c>
      <c r="BM31" s="73" t="s">
        <v>392</v>
      </c>
      <c r="BN31" s="75">
        <v>42200000</v>
      </c>
      <c r="BO31" s="71"/>
      <c r="BS31" s="79"/>
      <c r="BT31" s="218"/>
      <c r="BU31" s="79"/>
      <c r="BY31" s="79"/>
      <c r="BZ31" s="125"/>
      <c r="EA31"/>
      <c r="EB31"/>
    </row>
    <row r="32" spans="9:144" ht="15" customHeight="1">
      <c r="BH32" s="73" t="s">
        <v>141</v>
      </c>
      <c r="BI32" s="75">
        <v>240</v>
      </c>
      <c r="BM32" s="73" t="s">
        <v>393</v>
      </c>
      <c r="BN32" s="75">
        <v>33300000</v>
      </c>
      <c r="BS32" s="79"/>
      <c r="BT32" s="79"/>
      <c r="BU32" s="79"/>
      <c r="BX32" s="79"/>
      <c r="BY32" s="79"/>
      <c r="BZ32" s="207"/>
      <c r="CA32" s="79"/>
      <c r="EA32"/>
      <c r="EB32"/>
    </row>
    <row r="33" spans="59:132" ht="15" customHeight="1">
      <c r="BH33" s="73" t="s">
        <v>308</v>
      </c>
      <c r="BI33" s="75">
        <v>760</v>
      </c>
      <c r="BM33" s="73" t="s">
        <v>394</v>
      </c>
      <c r="BN33" s="127">
        <v>400000</v>
      </c>
      <c r="BX33" s="79"/>
      <c r="BY33" s="79"/>
      <c r="BZ33" s="207"/>
      <c r="CA33" s="79"/>
      <c r="EA33"/>
      <c r="EB33"/>
    </row>
    <row r="34" spans="59:132" ht="15" customHeight="1">
      <c r="BH34" s="79"/>
      <c r="BI34" s="34"/>
      <c r="BX34" s="79"/>
      <c r="BY34" s="79"/>
      <c r="BZ34" s="184"/>
      <c r="CA34" s="79"/>
      <c r="EA34"/>
      <c r="EB34"/>
    </row>
    <row r="35" spans="59:132" ht="15" customHeight="1">
      <c r="BH35" s="79"/>
      <c r="BI35" s="72" t="s">
        <v>172</v>
      </c>
      <c r="BX35" s="79"/>
      <c r="BY35" s="79"/>
      <c r="BZ35" s="79"/>
      <c r="CA35" s="79"/>
      <c r="EA35"/>
      <c r="EB35"/>
    </row>
    <row r="36" spans="59:132" ht="15" customHeight="1">
      <c r="BH36" s="79"/>
      <c r="BI36" s="164">
        <v>3910000</v>
      </c>
      <c r="BV36" s="71"/>
      <c r="BX36" s="79"/>
      <c r="CA36" s="104"/>
      <c r="CB36" s="71"/>
      <c r="CC36" s="71"/>
      <c r="EA36"/>
      <c r="EB36"/>
    </row>
    <row r="37" spans="59:132" ht="15" customHeight="1">
      <c r="BH37" s="79"/>
      <c r="BI37" s="34"/>
      <c r="BX37" s="79"/>
      <c r="CA37" s="79"/>
      <c r="EA37"/>
      <c r="EB37"/>
    </row>
    <row r="38" spans="59:132" ht="15" customHeight="1">
      <c r="BH38" s="79" t="s">
        <v>351</v>
      </c>
      <c r="BX38" s="79"/>
      <c r="CA38" s="79"/>
    </row>
    <row r="39" spans="59:132" ht="15" customHeight="1">
      <c r="BH39" s="73"/>
      <c r="BI39" s="77" t="s">
        <v>169</v>
      </c>
      <c r="BX39" s="79"/>
      <c r="CA39" s="79"/>
    </row>
    <row r="40" spans="59:132" ht="15" customHeight="1">
      <c r="BH40" s="73" t="s">
        <v>153</v>
      </c>
      <c r="BI40" s="75">
        <v>40</v>
      </c>
      <c r="BU40" s="192"/>
      <c r="BV40" s="125"/>
      <c r="CA40" s="207"/>
      <c r="CB40" s="125"/>
      <c r="CC40" s="125"/>
    </row>
    <row r="41" spans="59:132" ht="15" customHeight="1">
      <c r="BG41" s="52"/>
      <c r="BH41" s="73" t="s">
        <v>154</v>
      </c>
      <c r="BI41" s="75">
        <v>1</v>
      </c>
      <c r="BU41" s="161"/>
      <c r="BV41" s="266"/>
      <c r="CA41" s="161"/>
      <c r="CB41" s="266"/>
      <c r="CC41" s="192"/>
    </row>
    <row r="42" spans="59:132" ht="15" customHeight="1">
      <c r="BU42" s="161"/>
      <c r="BV42" s="266"/>
      <c r="CA42" s="161"/>
      <c r="CB42" s="266"/>
      <c r="CC42" s="192"/>
    </row>
    <row r="43" spans="59:132" ht="15" customHeight="1">
      <c r="BH43" s="73"/>
      <c r="BI43" s="77" t="s">
        <v>172</v>
      </c>
    </row>
    <row r="44" spans="59:132" ht="15" customHeight="1">
      <c r="BG44" s="52"/>
      <c r="BH44" s="73" t="s">
        <v>155</v>
      </c>
      <c r="BI44" s="164">
        <v>11430000</v>
      </c>
    </row>
    <row r="45" spans="59:132" ht="15" customHeight="1">
      <c r="BH45" s="79"/>
      <c r="BI45" s="34"/>
    </row>
    <row r="46" spans="59:132" ht="15" customHeight="1">
      <c r="BH46" s="1" t="s">
        <v>350</v>
      </c>
    </row>
    <row r="47" spans="59:132" ht="15" customHeight="1">
      <c r="BH47" s="73"/>
      <c r="BI47" s="72" t="s">
        <v>172</v>
      </c>
    </row>
    <row r="48" spans="59:132" ht="15" customHeight="1">
      <c r="BH48" s="73" t="s">
        <v>162</v>
      </c>
      <c r="BI48" s="164">
        <v>4038000</v>
      </c>
      <c r="BJ48" s="22"/>
      <c r="BU48" s="79"/>
      <c r="BV48" s="184"/>
      <c r="CA48" s="79"/>
      <c r="CB48" s="184"/>
    </row>
    <row r="49" spans="60:61" ht="15" customHeight="1">
      <c r="BH49" s="73" t="s">
        <v>163</v>
      </c>
      <c r="BI49" s="164">
        <v>4845000</v>
      </c>
    </row>
    <row r="50" spans="60:61" ht="15" customHeight="1">
      <c r="BH50" s="73" t="s">
        <v>164</v>
      </c>
      <c r="BI50" s="164">
        <v>2019000</v>
      </c>
    </row>
    <row r="52" spans="60:61" ht="15" customHeight="1">
      <c r="BI52" s="72" t="s">
        <v>168</v>
      </c>
    </row>
    <row r="53" spans="60:61" ht="15" customHeight="1">
      <c r="BI53" s="75">
        <v>160</v>
      </c>
    </row>
  </sheetData>
  <mergeCells count="9">
    <mergeCell ref="BV41:BV42"/>
    <mergeCell ref="BT22:BT23"/>
    <mergeCell ref="EN8:EN9"/>
    <mergeCell ref="DI4:DI8"/>
    <mergeCell ref="Y10:Y14"/>
    <mergeCell ref="Y15:Y21"/>
    <mergeCell ref="CF8:CF9"/>
    <mergeCell ref="BT8:BT9"/>
    <mergeCell ref="CB41:CB42"/>
  </mergeCells>
  <phoneticPr fontId="1"/>
  <pageMargins left="0.7" right="0.7" top="0.75" bottom="0.75" header="0.3" footer="0.3"/>
  <pageSetup paperSize="9" scale="65" orientation="portrait" r:id="rId1"/>
  <colBreaks count="29" manualBreakCount="29">
    <brk id="5" max="1048575" man="1"/>
    <brk id="10" max="1048575" man="1"/>
    <brk id="15" max="1048575" man="1"/>
    <brk id="20" max="1048575" man="1"/>
    <brk id="26" max="1048575" man="1"/>
    <brk id="30" max="1048575" man="1"/>
    <brk id="34" max="1048575" man="1"/>
    <brk id="38" max="1048575" man="1"/>
    <brk id="43" max="1048575" man="1"/>
    <brk id="48" max="1048575" man="1"/>
    <brk id="52" max="1048575" man="1"/>
    <brk id="57" max="1048575" man="1"/>
    <brk id="62" max="53" man="1"/>
    <brk id="68" max="53" man="1"/>
    <brk id="74" max="53" man="1"/>
    <brk id="80" max="53" man="1"/>
    <brk id="86" max="1048575" man="1"/>
    <brk id="90" max="1048575" man="1"/>
    <brk id="94" max="1048575" man="1"/>
    <brk id="98" max="1048575" man="1"/>
    <brk id="103" max="1048575" man="1"/>
    <brk id="109" max="1048575" man="1"/>
    <brk id="115" max="1048575" man="1"/>
    <brk id="120" max="1048575" man="1"/>
    <brk id="124" max="1048575" man="1"/>
    <brk id="128" max="53" man="1"/>
    <brk id="132" max="53" man="1"/>
    <brk id="136" max="53" man="1"/>
    <brk id="140" max="1048575" man="1"/>
  </colBreaks>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0" tint="-0.499984740745262"/>
  </sheetPr>
  <dimension ref="A1:L80"/>
  <sheetViews>
    <sheetView view="pageBreakPreview" topLeftCell="A49" zoomScale="90" zoomScaleNormal="70" zoomScaleSheetLayoutView="90" workbookViewId="0">
      <selection activeCell="C25" sqref="C25:G25"/>
    </sheetView>
  </sheetViews>
  <sheetFormatPr defaultColWidth="9" defaultRowHeight="13"/>
  <cols>
    <col min="1" max="1" width="9" style="71" bestFit="1" customWidth="1"/>
    <col min="2" max="2" width="7.36328125" style="1" customWidth="1"/>
    <col min="3" max="3" width="7.08984375" style="1" bestFit="1" customWidth="1"/>
    <col min="4" max="4" width="14.7265625" style="1" bestFit="1" customWidth="1"/>
    <col min="5" max="5" width="35.6328125" style="1" bestFit="1" customWidth="1"/>
    <col min="6" max="6" width="7.90625" style="22" bestFit="1" customWidth="1"/>
    <col min="7" max="8" width="9" style="1"/>
    <col min="9" max="9" width="51.90625" style="1" customWidth="1"/>
    <col min="10" max="10" width="16.6328125" style="1" bestFit="1" customWidth="1"/>
    <col min="11" max="11" width="14.7265625" style="1" bestFit="1" customWidth="1"/>
    <col min="12" max="12" width="9.26953125" style="1" bestFit="1" customWidth="1"/>
    <col min="13" max="16384" width="9" style="1"/>
  </cols>
  <sheetData>
    <row r="1" spans="1:12">
      <c r="A1" s="1" t="s">
        <v>167</v>
      </c>
      <c r="B1" s="71" t="s">
        <v>181</v>
      </c>
      <c r="C1" s="71" t="s">
        <v>182</v>
      </c>
      <c r="D1" s="71" t="s">
        <v>183</v>
      </c>
      <c r="E1" s="71" t="s">
        <v>210</v>
      </c>
      <c r="F1" s="103" t="s">
        <v>184</v>
      </c>
      <c r="H1" s="1" t="s">
        <v>203</v>
      </c>
    </row>
    <row r="2" spans="1:12" ht="13.5" thickBot="1">
      <c r="A2" s="71">
        <v>1</v>
      </c>
      <c r="B2" s="73" t="str">
        <f>I3</f>
        <v>(1) 休日夜間急患センター施設整備事業</v>
      </c>
      <c r="C2" s="73"/>
      <c r="D2" s="73" t="str">
        <f>$K$3</f>
        <v>鉄筋コンクリート</v>
      </c>
      <c r="E2" s="73"/>
      <c r="F2" s="75">
        <v>176300</v>
      </c>
      <c r="I2" s="81" t="s">
        <v>181</v>
      </c>
      <c r="J2" s="64" t="s">
        <v>182</v>
      </c>
      <c r="K2" s="64" t="s">
        <v>183</v>
      </c>
      <c r="L2" s="81" t="s">
        <v>184</v>
      </c>
    </row>
    <row r="3" spans="1:12" ht="14">
      <c r="B3" s="73"/>
      <c r="C3" s="73"/>
      <c r="D3" s="73" t="str">
        <f>$K$4</f>
        <v>ブロック</v>
      </c>
      <c r="E3" s="73"/>
      <c r="F3" s="75">
        <v>153200</v>
      </c>
      <c r="I3" s="89" t="s">
        <v>185</v>
      </c>
      <c r="J3" s="84"/>
      <c r="K3" s="85" t="s">
        <v>186</v>
      </c>
      <c r="L3" s="185">
        <v>176300</v>
      </c>
    </row>
    <row r="4" spans="1:12" ht="14">
      <c r="B4" s="73"/>
      <c r="C4" s="73"/>
      <c r="D4" s="73" t="str">
        <f>$K$5</f>
        <v>木造</v>
      </c>
      <c r="E4" s="73"/>
      <c r="F4" s="75">
        <v>176300</v>
      </c>
      <c r="I4" s="90" t="s">
        <v>187</v>
      </c>
      <c r="J4" s="92"/>
      <c r="K4" s="73" t="s">
        <v>188</v>
      </c>
      <c r="L4" s="185">
        <v>153200</v>
      </c>
    </row>
    <row r="5" spans="1:12" ht="14">
      <c r="I5" s="90" t="s">
        <v>365</v>
      </c>
      <c r="J5" s="92"/>
      <c r="K5" s="81" t="s">
        <v>189</v>
      </c>
      <c r="L5" s="185">
        <v>176300</v>
      </c>
    </row>
    <row r="6" spans="1:12" ht="13.5" thickBot="1">
      <c r="A6" s="71">
        <v>2</v>
      </c>
      <c r="B6" s="73" t="str">
        <f>I7</f>
        <v>(2) 病院群輪番制病院及び共同利用型病院施設整備事業</v>
      </c>
      <c r="C6" s="73"/>
      <c r="D6" s="73" t="str">
        <f>$K$7</f>
        <v>鉄筋コンクリート</v>
      </c>
      <c r="E6" s="73"/>
      <c r="F6" s="75">
        <v>250000</v>
      </c>
      <c r="I6" s="91" t="s">
        <v>366</v>
      </c>
      <c r="J6" s="87"/>
      <c r="K6" s="87"/>
      <c r="L6" s="186"/>
    </row>
    <row r="7" spans="1:12" ht="14">
      <c r="I7" s="96" t="s">
        <v>318</v>
      </c>
      <c r="J7" s="92"/>
      <c r="K7" s="92" t="s">
        <v>186</v>
      </c>
      <c r="L7" s="185">
        <v>250000</v>
      </c>
    </row>
    <row r="8" spans="1:12">
      <c r="A8" s="71">
        <v>5</v>
      </c>
      <c r="B8" s="73" t="str">
        <f>I8</f>
        <v>(5) 救命救急センター施設整備事業</v>
      </c>
      <c r="C8" s="73"/>
      <c r="D8" s="73" t="str">
        <f>$K$7</f>
        <v>鉄筋コンクリート</v>
      </c>
      <c r="E8" s="73"/>
      <c r="F8" s="75">
        <v>250000</v>
      </c>
      <c r="I8" s="90" t="s">
        <v>190</v>
      </c>
      <c r="J8" s="92"/>
      <c r="K8" s="92"/>
      <c r="L8" s="187"/>
    </row>
    <row r="9" spans="1:12" ht="13.5" customHeight="1">
      <c r="I9" s="90" t="s">
        <v>191</v>
      </c>
      <c r="J9" s="92"/>
      <c r="K9" s="92"/>
      <c r="L9" s="187"/>
    </row>
    <row r="10" spans="1:12">
      <c r="A10" s="71">
        <v>6</v>
      </c>
      <c r="B10" s="73" t="str">
        <f>I9</f>
        <v>(6) 小児救急医療拠点病院施設整備事業</v>
      </c>
      <c r="C10" s="73"/>
      <c r="D10" s="73" t="str">
        <f>$K$7</f>
        <v>鉄筋コンクリート</v>
      </c>
      <c r="E10" s="73"/>
      <c r="F10" s="75">
        <v>250000</v>
      </c>
      <c r="I10" s="90" t="s">
        <v>192</v>
      </c>
      <c r="J10" s="92"/>
      <c r="K10" s="92"/>
      <c r="L10" s="187"/>
    </row>
    <row r="11" spans="1:12">
      <c r="H11" s="22"/>
      <c r="I11" s="90" t="s">
        <v>367</v>
      </c>
      <c r="J11" s="92"/>
      <c r="K11" s="92"/>
      <c r="L11" s="187"/>
    </row>
    <row r="12" spans="1:12" ht="13.5" thickBot="1">
      <c r="A12" s="71">
        <v>7</v>
      </c>
      <c r="B12" s="73" t="str">
        <f>I4</f>
        <v>(7) 小児初期救急センター施設整備事業</v>
      </c>
      <c r="C12" s="73"/>
      <c r="D12" s="73" t="str">
        <f>$K$3</f>
        <v>鉄筋コンクリート</v>
      </c>
      <c r="E12" s="73"/>
      <c r="F12" s="75">
        <v>176300</v>
      </c>
      <c r="I12" s="91"/>
      <c r="J12" s="87"/>
      <c r="K12" s="87"/>
      <c r="L12" s="186"/>
    </row>
    <row r="13" spans="1:12" ht="14">
      <c r="B13" s="73"/>
      <c r="C13" s="73"/>
      <c r="D13" s="73" t="str">
        <f>$K$4</f>
        <v>ブロック</v>
      </c>
      <c r="E13" s="73"/>
      <c r="F13" s="75">
        <f>$L$4</f>
        <v>153200</v>
      </c>
      <c r="H13" s="22"/>
      <c r="I13" s="89" t="s">
        <v>193</v>
      </c>
      <c r="J13" s="94" t="s">
        <v>194</v>
      </c>
      <c r="K13" s="84" t="s">
        <v>186</v>
      </c>
      <c r="L13" s="185">
        <v>224000</v>
      </c>
    </row>
    <row r="14" spans="1:12" ht="13.5" customHeight="1" thickBot="1">
      <c r="B14" s="73"/>
      <c r="C14" s="73"/>
      <c r="D14" s="73" t="str">
        <f>$K$5</f>
        <v>木造</v>
      </c>
      <c r="E14" s="73"/>
      <c r="F14" s="75">
        <f>$L$5</f>
        <v>176300</v>
      </c>
      <c r="H14" s="22"/>
      <c r="I14" s="90" t="s">
        <v>195</v>
      </c>
      <c r="J14" s="95"/>
      <c r="K14" s="81" t="s">
        <v>188</v>
      </c>
      <c r="L14" s="185">
        <v>195300</v>
      </c>
    </row>
    <row r="15" spans="1:12" ht="14.5" thickBot="1">
      <c r="H15" s="22"/>
      <c r="I15" s="90" t="s">
        <v>196</v>
      </c>
      <c r="J15" s="81" t="s">
        <v>197</v>
      </c>
      <c r="K15" s="73" t="s">
        <v>186</v>
      </c>
      <c r="L15" s="188">
        <v>250000</v>
      </c>
    </row>
    <row r="16" spans="1:12" ht="14">
      <c r="A16" s="71">
        <v>8</v>
      </c>
      <c r="B16" s="73" t="str">
        <f>I10</f>
        <v>(8) 小児集中治療室施設整備事業</v>
      </c>
      <c r="C16" s="73"/>
      <c r="D16" s="73" t="str">
        <f>$K$7</f>
        <v>鉄筋コンクリート</v>
      </c>
      <c r="E16" s="73"/>
      <c r="F16" s="75">
        <v>250000</v>
      </c>
      <c r="H16" s="22"/>
      <c r="I16" s="90"/>
      <c r="J16" s="92"/>
      <c r="K16" s="81" t="s">
        <v>188</v>
      </c>
      <c r="L16" s="185">
        <v>218500</v>
      </c>
    </row>
    <row r="17" spans="1:12">
      <c r="H17" s="22"/>
      <c r="I17" s="97" t="s">
        <v>368</v>
      </c>
      <c r="J17" s="92"/>
      <c r="K17" s="92"/>
      <c r="L17" s="187"/>
    </row>
    <row r="18" spans="1:12" ht="13.5" thickBot="1">
      <c r="A18" s="71">
        <v>9</v>
      </c>
      <c r="B18" s="73" t="str">
        <f>I13</f>
        <v>(9) 小児医療施設施設整備事業</v>
      </c>
      <c r="C18" s="73" t="str">
        <f>$J$13</f>
        <v>病棟</v>
      </c>
      <c r="D18" s="73" t="str">
        <f>$K$13</f>
        <v>鉄筋コンクリート</v>
      </c>
      <c r="E18" s="73" t="s">
        <v>186</v>
      </c>
      <c r="F18" s="75">
        <v>224000</v>
      </c>
      <c r="H18" s="22"/>
      <c r="I18" s="86"/>
      <c r="J18" s="87"/>
      <c r="K18" s="87"/>
      <c r="L18" s="186"/>
    </row>
    <row r="19" spans="1:12" ht="14">
      <c r="B19" s="73"/>
      <c r="C19" s="73"/>
      <c r="D19" s="73" t="str">
        <f>$K$14</f>
        <v>ブロック</v>
      </c>
      <c r="E19" s="73" t="s">
        <v>188</v>
      </c>
      <c r="F19" s="75">
        <v>195300</v>
      </c>
      <c r="H19" s="22"/>
      <c r="I19" s="83" t="s">
        <v>198</v>
      </c>
      <c r="J19" s="84"/>
      <c r="K19" s="85" t="s">
        <v>186</v>
      </c>
      <c r="L19" s="185">
        <v>224000</v>
      </c>
    </row>
    <row r="20" spans="1:12" ht="14.5" thickBot="1">
      <c r="B20" s="73"/>
      <c r="C20" s="73" t="str">
        <f>$J$15</f>
        <v>診療棟</v>
      </c>
      <c r="D20" s="73" t="str">
        <f>$K$15</f>
        <v>鉄筋コンクリート</v>
      </c>
      <c r="E20" s="73" t="s">
        <v>186</v>
      </c>
      <c r="F20" s="75">
        <v>250000</v>
      </c>
      <c r="H20" s="22"/>
      <c r="I20" s="86"/>
      <c r="J20" s="87"/>
      <c r="K20" s="88" t="s">
        <v>188</v>
      </c>
      <c r="L20" s="185">
        <v>195300</v>
      </c>
    </row>
    <row r="21" spans="1:12" ht="14.5" thickBot="1">
      <c r="B21" s="73"/>
      <c r="C21" s="73"/>
      <c r="D21" s="73" t="str">
        <f>$K$16</f>
        <v>ブロック</v>
      </c>
      <c r="E21" s="73" t="s">
        <v>188</v>
      </c>
      <c r="F21" s="75">
        <v>218500</v>
      </c>
      <c r="H21" s="22"/>
      <c r="I21" s="83" t="s">
        <v>199</v>
      </c>
      <c r="J21" s="84" t="s">
        <v>178</v>
      </c>
      <c r="K21" s="85" t="s">
        <v>186</v>
      </c>
      <c r="L21" s="188">
        <v>224000</v>
      </c>
    </row>
    <row r="22" spans="1:12" ht="14.5" thickBot="1">
      <c r="H22" s="22"/>
      <c r="I22" s="93"/>
      <c r="J22" s="82"/>
      <c r="K22" s="73" t="s">
        <v>188</v>
      </c>
      <c r="L22" s="185">
        <v>195300</v>
      </c>
    </row>
    <row r="23" spans="1:12" ht="14.5" thickBot="1">
      <c r="A23" s="71">
        <v>10</v>
      </c>
      <c r="B23" s="73" t="str">
        <f>I19</f>
        <v>(10) 周産期医療施設施設整備事業</v>
      </c>
      <c r="C23" s="73"/>
      <c r="D23" s="73" t="str">
        <f>K19</f>
        <v>鉄筋コンクリート</v>
      </c>
      <c r="E23" s="73"/>
      <c r="F23" s="75">
        <v>224000</v>
      </c>
      <c r="H23" s="22"/>
      <c r="I23" s="93"/>
      <c r="J23" s="73" t="s">
        <v>200</v>
      </c>
      <c r="K23" s="73" t="s">
        <v>186</v>
      </c>
      <c r="L23" s="188">
        <v>167800</v>
      </c>
    </row>
    <row r="24" spans="1:12" ht="14">
      <c r="B24" s="73"/>
      <c r="C24" s="73"/>
      <c r="D24" s="73" t="str">
        <f>K20</f>
        <v>ブロック</v>
      </c>
      <c r="E24" s="73"/>
      <c r="F24" s="75">
        <v>195300</v>
      </c>
      <c r="H24" s="22"/>
      <c r="I24" s="93"/>
      <c r="J24" s="73" t="s">
        <v>204</v>
      </c>
      <c r="K24" s="73" t="s">
        <v>188</v>
      </c>
      <c r="L24" s="185">
        <v>145900</v>
      </c>
    </row>
    <row r="25" spans="1:12" ht="14.5" thickBot="1">
      <c r="H25" s="22"/>
      <c r="I25" s="93"/>
      <c r="J25" s="73"/>
      <c r="K25" s="73" t="s">
        <v>189</v>
      </c>
      <c r="L25" s="185">
        <v>167800</v>
      </c>
    </row>
    <row r="26" spans="1:12" ht="14.5" thickBot="1">
      <c r="A26" s="71">
        <v>11</v>
      </c>
      <c r="B26" s="73" t="str">
        <f>I14</f>
        <v>(11)地域療育支援施設施設整備事業</v>
      </c>
      <c r="C26" s="73" t="str">
        <f>$J$13</f>
        <v>病棟</v>
      </c>
      <c r="D26" s="73" t="str">
        <f>$K$13</f>
        <v>鉄筋コンクリート</v>
      </c>
      <c r="E26" s="73" t="s">
        <v>211</v>
      </c>
      <c r="F26" s="75">
        <v>224000</v>
      </c>
      <c r="H26" s="22"/>
      <c r="I26" s="93"/>
      <c r="J26" s="73" t="s">
        <v>200</v>
      </c>
      <c r="K26" s="73" t="s">
        <v>186</v>
      </c>
      <c r="L26" s="188">
        <v>179800</v>
      </c>
    </row>
    <row r="27" spans="1:12" ht="14">
      <c r="B27" s="73"/>
      <c r="C27" s="73"/>
      <c r="D27" s="73" t="str">
        <f>$K$14</f>
        <v>ブロック</v>
      </c>
      <c r="E27" s="73" t="s">
        <v>212</v>
      </c>
      <c r="F27" s="75">
        <v>195300</v>
      </c>
      <c r="H27" s="22"/>
      <c r="I27" s="93"/>
      <c r="J27" s="73" t="s">
        <v>206</v>
      </c>
      <c r="K27" s="73" t="s">
        <v>188</v>
      </c>
      <c r="L27" s="185">
        <v>156700</v>
      </c>
    </row>
    <row r="28" spans="1:12" ht="14.5" thickBot="1">
      <c r="B28" s="73"/>
      <c r="C28" s="73" t="str">
        <f>$J$15</f>
        <v>診療棟</v>
      </c>
      <c r="D28" s="73" t="str">
        <f>$K$15</f>
        <v>鉄筋コンクリート</v>
      </c>
      <c r="E28" s="73" t="s">
        <v>213</v>
      </c>
      <c r="F28" s="75">
        <v>250000</v>
      </c>
      <c r="H28" s="22"/>
      <c r="I28" s="86"/>
      <c r="J28" s="88"/>
      <c r="K28" s="88" t="s">
        <v>189</v>
      </c>
      <c r="L28" s="185">
        <v>179800</v>
      </c>
    </row>
    <row r="29" spans="1:12">
      <c r="B29" s="73"/>
      <c r="C29" s="73"/>
      <c r="D29" s="73" t="str">
        <f>$K$16</f>
        <v>ブロック</v>
      </c>
      <c r="E29" s="73" t="s">
        <v>214</v>
      </c>
      <c r="F29" s="75">
        <v>218500</v>
      </c>
      <c r="H29" s="22"/>
      <c r="I29" s="83"/>
      <c r="J29" s="84"/>
      <c r="K29" s="85" t="s">
        <v>186</v>
      </c>
      <c r="L29" s="189">
        <v>207500</v>
      </c>
    </row>
    <row r="30" spans="1:12">
      <c r="H30" s="22"/>
      <c r="I30" s="93"/>
      <c r="J30" s="92"/>
      <c r="K30" s="73" t="s">
        <v>188</v>
      </c>
      <c r="L30" s="190">
        <v>180900</v>
      </c>
    </row>
    <row r="31" spans="1:12" ht="13.5" thickBot="1">
      <c r="A31" s="71">
        <v>12</v>
      </c>
      <c r="B31" s="73" t="str">
        <f>I15</f>
        <v>(12)共同利用施設施設整備事業</v>
      </c>
      <c r="C31" s="73" t="str">
        <f>$J$13</f>
        <v>病棟</v>
      </c>
      <c r="D31" s="73" t="str">
        <f>$K$13</f>
        <v>鉄筋コンクリート</v>
      </c>
      <c r="E31" s="73" t="s">
        <v>186</v>
      </c>
      <c r="F31" s="75">
        <v>224000</v>
      </c>
      <c r="H31" s="22"/>
      <c r="I31" s="86"/>
      <c r="J31" s="87"/>
      <c r="K31" s="88" t="s">
        <v>189</v>
      </c>
      <c r="L31" s="191">
        <v>207500</v>
      </c>
    </row>
    <row r="32" spans="1:12" ht="14">
      <c r="B32" s="73"/>
      <c r="C32" s="73"/>
      <c r="D32" s="73" t="str">
        <f>$K$14</f>
        <v>ブロック</v>
      </c>
      <c r="E32" s="73" t="s">
        <v>188</v>
      </c>
      <c r="F32" s="75">
        <v>195300</v>
      </c>
      <c r="H32" s="22"/>
      <c r="I32" s="89" t="s">
        <v>369</v>
      </c>
      <c r="J32" s="84"/>
      <c r="K32" s="84" t="s">
        <v>186</v>
      </c>
      <c r="L32" s="185">
        <v>530900</v>
      </c>
    </row>
    <row r="33" spans="1:12" ht="13.5" thickBot="1">
      <c r="B33" s="73"/>
      <c r="C33" s="73" t="str">
        <f>$J$15</f>
        <v>診療棟</v>
      </c>
      <c r="D33" s="73" t="str">
        <f>$K$15</f>
        <v>鉄筋コンクリート</v>
      </c>
      <c r="E33" s="73" t="s">
        <v>186</v>
      </c>
      <c r="F33" s="75">
        <v>250000</v>
      </c>
      <c r="H33" s="22"/>
      <c r="I33" s="91" t="s">
        <v>370</v>
      </c>
      <c r="J33" s="87"/>
      <c r="K33" s="87"/>
      <c r="L33" s="186"/>
    </row>
    <row r="34" spans="1:12" ht="14">
      <c r="B34" s="73"/>
      <c r="C34" s="73"/>
      <c r="D34" s="73" t="str">
        <f>$K$16</f>
        <v>ブロック</v>
      </c>
      <c r="E34" s="73" t="s">
        <v>188</v>
      </c>
      <c r="F34" s="75">
        <v>218500</v>
      </c>
      <c r="H34" s="22"/>
      <c r="I34" s="83" t="s">
        <v>371</v>
      </c>
      <c r="J34" s="84" t="s">
        <v>201</v>
      </c>
      <c r="K34" s="85" t="s">
        <v>186</v>
      </c>
      <c r="L34" s="185">
        <v>250000</v>
      </c>
    </row>
    <row r="35" spans="1:12" ht="14">
      <c r="H35" s="22"/>
      <c r="I35" s="93"/>
      <c r="J35" s="82"/>
      <c r="K35" s="73" t="s">
        <v>188</v>
      </c>
      <c r="L35" s="185">
        <v>218500</v>
      </c>
    </row>
    <row r="36" spans="1:12" ht="14.5" thickBot="1">
      <c r="H36" s="22"/>
      <c r="I36" s="93"/>
      <c r="J36" s="81" t="s">
        <v>202</v>
      </c>
      <c r="K36" s="73" t="s">
        <v>186</v>
      </c>
      <c r="L36" s="185">
        <v>206100</v>
      </c>
    </row>
    <row r="37" spans="1:12" ht="14.5" thickBot="1">
      <c r="A37" s="71">
        <v>13</v>
      </c>
      <c r="B37" s="73" t="str">
        <f>I21</f>
        <v>(13)医療施設近代化施設整備事業</v>
      </c>
      <c r="C37" s="73"/>
      <c r="D37" s="73"/>
      <c r="E37" s="73" t="s">
        <v>221</v>
      </c>
      <c r="F37" s="75"/>
      <c r="I37" s="86"/>
      <c r="J37" s="87"/>
      <c r="K37" s="88" t="s">
        <v>188</v>
      </c>
      <c r="L37" s="188">
        <v>180000</v>
      </c>
    </row>
    <row r="38" spans="1:12">
      <c r="B38" s="73"/>
      <c r="C38" s="73" t="str">
        <f>J21</f>
        <v>病院</v>
      </c>
      <c r="D38" s="73" t="str">
        <f>K21</f>
        <v>鉄筋コンクリート</v>
      </c>
      <c r="E38" s="73" t="s">
        <v>186</v>
      </c>
      <c r="F38" s="75">
        <v>224000</v>
      </c>
    </row>
    <row r="39" spans="1:12">
      <c r="B39" s="73"/>
      <c r="C39" s="73"/>
      <c r="D39" s="73" t="str">
        <f>K22</f>
        <v>ブロック</v>
      </c>
      <c r="E39" s="73" t="s">
        <v>188</v>
      </c>
      <c r="F39" s="75">
        <v>195300</v>
      </c>
    </row>
    <row r="40" spans="1:12">
      <c r="B40" s="73"/>
      <c r="C40" s="73"/>
      <c r="D40" s="73"/>
      <c r="E40" s="73" t="s">
        <v>222</v>
      </c>
      <c r="F40" s="75"/>
    </row>
    <row r="41" spans="1:12">
      <c r="B41" s="73"/>
      <c r="C41" s="73" t="str">
        <f>J23</f>
        <v>診療所</v>
      </c>
      <c r="D41" s="73" t="str">
        <f>K23</f>
        <v>鉄筋コンクリート</v>
      </c>
      <c r="E41" s="73" t="s">
        <v>215</v>
      </c>
      <c r="F41" s="75">
        <v>167800</v>
      </c>
    </row>
    <row r="42" spans="1:12">
      <c r="B42" s="73"/>
      <c r="C42" s="73" t="str">
        <f>J24</f>
        <v>（一般地区）</v>
      </c>
      <c r="D42" s="73" t="str">
        <f>K24</f>
        <v>ブロック</v>
      </c>
      <c r="E42" s="73" t="s">
        <v>216</v>
      </c>
      <c r="F42" s="75">
        <v>145900</v>
      </c>
    </row>
    <row r="43" spans="1:12">
      <c r="B43" s="73"/>
      <c r="C43" s="73"/>
      <c r="D43" s="73" t="str">
        <f>K25</f>
        <v>木造</v>
      </c>
      <c r="E43" s="73" t="s">
        <v>217</v>
      </c>
      <c r="F43" s="75">
        <v>167800</v>
      </c>
    </row>
    <row r="44" spans="1:12">
      <c r="B44" s="73"/>
      <c r="C44" s="73" t="str">
        <f>J26</f>
        <v>診療所</v>
      </c>
      <c r="D44" s="73" t="str">
        <f>K26</f>
        <v>鉄筋コンクリート</v>
      </c>
      <c r="E44" s="73" t="s">
        <v>218</v>
      </c>
      <c r="F44" s="75">
        <v>179800</v>
      </c>
    </row>
    <row r="45" spans="1:12">
      <c r="B45" s="73"/>
      <c r="C45" s="73" t="str">
        <f>J27</f>
        <v>（離島、豪雪地区）</v>
      </c>
      <c r="D45" s="73" t="str">
        <f>K27</f>
        <v>ブロック</v>
      </c>
      <c r="E45" s="73" t="s">
        <v>219</v>
      </c>
      <c r="F45" s="75">
        <v>156700</v>
      </c>
    </row>
    <row r="46" spans="1:12">
      <c r="B46" s="73"/>
      <c r="C46" s="73"/>
      <c r="D46" s="73" t="str">
        <f>K28</f>
        <v>木造</v>
      </c>
      <c r="E46" s="73" t="s">
        <v>220</v>
      </c>
      <c r="F46" s="75">
        <v>179800</v>
      </c>
    </row>
    <row r="48" spans="1:12">
      <c r="A48" s="71">
        <v>14</v>
      </c>
      <c r="B48" s="73">
        <f>I16</f>
        <v>0</v>
      </c>
      <c r="C48" s="73" t="str">
        <f>$J$13</f>
        <v>病棟</v>
      </c>
      <c r="D48" s="73" t="str">
        <f>$K$13</f>
        <v>鉄筋コンクリート</v>
      </c>
      <c r="E48" s="73" t="s">
        <v>186</v>
      </c>
      <c r="F48" s="75">
        <f>$L$19</f>
        <v>224000</v>
      </c>
    </row>
    <row r="49" spans="1:6">
      <c r="B49" s="73"/>
      <c r="C49" s="73"/>
      <c r="D49" s="73" t="str">
        <f>$K$14</f>
        <v>ブロック</v>
      </c>
      <c r="E49" s="73" t="s">
        <v>188</v>
      </c>
      <c r="F49" s="75">
        <f>$L$20</f>
        <v>195300</v>
      </c>
    </row>
    <row r="51" spans="1:6">
      <c r="A51" s="71">
        <v>17</v>
      </c>
      <c r="B51" s="73" t="str">
        <f>I32</f>
        <v>(17)腎移植施設施設整備事業</v>
      </c>
      <c r="C51" s="73"/>
      <c r="D51" s="73" t="str">
        <f>$K$32</f>
        <v>鉄筋コンクリート</v>
      </c>
      <c r="E51" s="73"/>
      <c r="F51" s="75">
        <v>530900</v>
      </c>
    </row>
    <row r="53" spans="1:6">
      <c r="A53" s="71">
        <v>19</v>
      </c>
      <c r="B53" s="73" t="str">
        <f>I33</f>
        <v>(19)肝移植施設施設整備事業</v>
      </c>
      <c r="C53" s="73"/>
      <c r="D53" s="73" t="str">
        <f>$K$32</f>
        <v>鉄筋コンクリート</v>
      </c>
      <c r="E53" s="73"/>
      <c r="F53" s="75">
        <v>530900</v>
      </c>
    </row>
    <row r="55" spans="1:6">
      <c r="A55" s="71">
        <v>20</v>
      </c>
      <c r="B55" s="73" t="str">
        <f>I34</f>
        <v>(20)治験施設施設整備事業</v>
      </c>
      <c r="C55" s="73" t="str">
        <f>J34</f>
        <v>治験専門外来</v>
      </c>
      <c r="D55" s="73" t="str">
        <f>K34</f>
        <v>鉄筋コンクリート</v>
      </c>
      <c r="E55" s="73" t="s">
        <v>186</v>
      </c>
      <c r="F55" s="75">
        <v>250000</v>
      </c>
    </row>
    <row r="56" spans="1:6">
      <c r="B56" s="73"/>
      <c r="C56" s="73"/>
      <c r="D56" s="73" t="str">
        <f>K35</f>
        <v>ブロック</v>
      </c>
      <c r="E56" s="73" t="s">
        <v>188</v>
      </c>
      <c r="F56" s="75">
        <v>218500</v>
      </c>
    </row>
    <row r="57" spans="1:6">
      <c r="B57" s="73"/>
      <c r="C57" s="73" t="str">
        <f>J36</f>
        <v>治験管理部門</v>
      </c>
      <c r="D57" s="73" t="str">
        <f>K36</f>
        <v>鉄筋コンクリート</v>
      </c>
      <c r="E57" s="73" t="s">
        <v>186</v>
      </c>
      <c r="F57" s="75">
        <v>206100</v>
      </c>
    </row>
    <row r="58" spans="1:6">
      <c r="B58" s="73"/>
      <c r="C58" s="73"/>
      <c r="D58" s="73" t="str">
        <f>K37</f>
        <v>ブロック</v>
      </c>
      <c r="E58" s="73" t="s">
        <v>188</v>
      </c>
      <c r="F58" s="75">
        <v>180000</v>
      </c>
    </row>
    <row r="60" spans="1:6">
      <c r="A60" s="71">
        <v>21</v>
      </c>
      <c r="B60" s="73">
        <f>I29</f>
        <v>0</v>
      </c>
      <c r="C60" s="73"/>
      <c r="D60" s="73" t="str">
        <f>K29</f>
        <v>鉄筋コンクリート</v>
      </c>
      <c r="E60" s="73" t="s">
        <v>186</v>
      </c>
      <c r="F60" s="75">
        <f>L29</f>
        <v>207500</v>
      </c>
    </row>
    <row r="61" spans="1:6">
      <c r="B61" s="73"/>
      <c r="C61" s="73"/>
      <c r="D61" s="73" t="str">
        <f>K30</f>
        <v>ブロック</v>
      </c>
      <c r="E61" s="73" t="s">
        <v>188</v>
      </c>
      <c r="F61" s="75">
        <f>L30</f>
        <v>180900</v>
      </c>
    </row>
    <row r="62" spans="1:6">
      <c r="B62" s="73"/>
      <c r="C62" s="73"/>
      <c r="D62" s="73" t="str">
        <f>K31</f>
        <v>木造</v>
      </c>
      <c r="E62" s="73" t="s">
        <v>189</v>
      </c>
      <c r="F62" s="75">
        <f>L31</f>
        <v>207500</v>
      </c>
    </row>
    <row r="65" spans="1:6">
      <c r="A65" s="71">
        <v>22</v>
      </c>
      <c r="B65" s="73" t="str">
        <f>I17</f>
        <v>(21)特定地域病院施設整備事業</v>
      </c>
      <c r="C65" s="73" t="str">
        <f>$J$13</f>
        <v>病棟</v>
      </c>
      <c r="D65" s="73" t="str">
        <f>$K$13</f>
        <v>鉄筋コンクリート</v>
      </c>
      <c r="E65" s="73" t="s">
        <v>211</v>
      </c>
      <c r="F65" s="75">
        <v>224000</v>
      </c>
    </row>
    <row r="66" spans="1:6">
      <c r="B66" s="73"/>
      <c r="C66" s="73"/>
      <c r="D66" s="73" t="str">
        <f>$K$14</f>
        <v>ブロック</v>
      </c>
      <c r="E66" s="73" t="s">
        <v>212</v>
      </c>
      <c r="F66" s="75">
        <v>195300</v>
      </c>
    </row>
    <row r="67" spans="1:6">
      <c r="B67" s="73"/>
      <c r="C67" s="73" t="str">
        <f>$J$15</f>
        <v>診療棟</v>
      </c>
      <c r="D67" s="73" t="str">
        <f>$K$15</f>
        <v>鉄筋コンクリート</v>
      </c>
      <c r="E67" s="73" t="s">
        <v>213</v>
      </c>
      <c r="F67" s="75">
        <v>250000</v>
      </c>
    </row>
    <row r="68" spans="1:6">
      <c r="B68" s="73"/>
      <c r="C68" s="73"/>
      <c r="D68" s="73" t="str">
        <f>$K$16</f>
        <v>ブロック</v>
      </c>
      <c r="E68" s="73" t="s">
        <v>214</v>
      </c>
      <c r="F68" s="75">
        <v>218500</v>
      </c>
    </row>
    <row r="70" spans="1:6">
      <c r="A70" s="71">
        <v>27</v>
      </c>
      <c r="B70" s="73" t="str">
        <f>I11</f>
        <v>(26)医療機器管理室施設整備事業</v>
      </c>
      <c r="C70" s="73"/>
      <c r="D70" s="73" t="str">
        <f>$K$7</f>
        <v>鉄筋コンクリート</v>
      </c>
      <c r="E70" s="73"/>
      <c r="F70" s="75">
        <v>250000</v>
      </c>
    </row>
    <row r="72" spans="1:6">
      <c r="A72" s="71">
        <v>29</v>
      </c>
      <c r="B72" s="73">
        <f>I12</f>
        <v>0</v>
      </c>
      <c r="C72" s="73"/>
      <c r="D72" s="73" t="str">
        <f>$K$7</f>
        <v>鉄筋コンクリート</v>
      </c>
      <c r="E72" s="73"/>
      <c r="F72" s="75">
        <f>$L$7</f>
        <v>250000</v>
      </c>
    </row>
    <row r="74" spans="1:6">
      <c r="A74" s="71">
        <v>30</v>
      </c>
      <c r="B74" s="73" t="str">
        <f>I5</f>
        <v>(28)看護師の特定行為に係る指定研修機関等施設整備事業</v>
      </c>
      <c r="C74" s="73"/>
      <c r="D74" s="73" t="str">
        <f>$K$3</f>
        <v>鉄筋コンクリート</v>
      </c>
      <c r="E74" s="73"/>
      <c r="F74" s="75">
        <v>176300</v>
      </c>
    </row>
    <row r="75" spans="1:6">
      <c r="B75" s="73"/>
      <c r="C75" s="73"/>
      <c r="D75" s="73" t="str">
        <f>$K$4</f>
        <v>ブロック</v>
      </c>
      <c r="E75" s="73"/>
      <c r="F75" s="75">
        <v>153200</v>
      </c>
    </row>
    <row r="76" spans="1:6">
      <c r="B76" s="73"/>
      <c r="C76" s="73"/>
      <c r="D76" s="73" t="str">
        <f>$K$5</f>
        <v>木造</v>
      </c>
      <c r="E76" s="73"/>
      <c r="F76" s="75">
        <v>176300</v>
      </c>
    </row>
    <row r="78" spans="1:6">
      <c r="A78" s="71">
        <v>31</v>
      </c>
      <c r="B78" s="73" t="str">
        <f>I6</f>
        <v>(29)地域拠点歯科診療所施設整備事業</v>
      </c>
      <c r="C78" s="73"/>
      <c r="D78" s="73" t="str">
        <f>$K$3</f>
        <v>鉄筋コンクリート</v>
      </c>
      <c r="E78" s="73"/>
      <c r="F78" s="75">
        <v>176300</v>
      </c>
    </row>
    <row r="79" spans="1:6">
      <c r="B79" s="73"/>
      <c r="C79" s="73"/>
      <c r="D79" s="73" t="str">
        <f>$K$4</f>
        <v>ブロック</v>
      </c>
      <c r="E79" s="73"/>
      <c r="F79" s="75">
        <v>153200</v>
      </c>
    </row>
    <row r="80" spans="1:6">
      <c r="B80" s="73"/>
      <c r="C80" s="73"/>
      <c r="D80" s="73" t="str">
        <f>$K$5</f>
        <v>木造</v>
      </c>
      <c r="E80" s="73"/>
      <c r="F80" s="75">
        <v>176300</v>
      </c>
    </row>
  </sheetData>
  <phoneticPr fontId="1"/>
  <pageMargins left="0.7" right="0.7" top="0.75" bottom="0.75" header="0.3" footer="0.3"/>
  <pageSetup paperSize="9" scale="79" orientation="portrait" r:id="rId1"/>
  <colBreaks count="1" manualBreakCount="1">
    <brk id="7"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5" sqref="C25:G25"/>
    </sheetView>
  </sheetViews>
  <sheetFormatPr defaultRowHeight="13"/>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5" sqref="C25:G25"/>
    </sheetView>
  </sheetViews>
  <sheetFormatPr defaultRowHeight="13"/>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1"/>
  <sheetViews>
    <sheetView view="pageBreakPreview" zoomScale="85" zoomScaleNormal="85" zoomScaleSheetLayoutView="85" workbookViewId="0">
      <selection activeCell="C25" sqref="C25:G25"/>
    </sheetView>
  </sheetViews>
  <sheetFormatPr defaultColWidth="9" defaultRowHeight="13"/>
  <cols>
    <col min="1" max="1" width="1.26953125" style="2" customWidth="1"/>
    <col min="2" max="2" width="13.90625" style="2" bestFit="1" customWidth="1"/>
    <col min="3" max="3" width="14" style="2" customWidth="1"/>
    <col min="4" max="5" width="9" style="2" customWidth="1"/>
    <col min="6" max="6" width="9" style="29" customWidth="1"/>
    <col min="7" max="8" width="9" style="2" customWidth="1"/>
    <col min="9" max="9" width="15" style="6" customWidth="1"/>
    <col min="10" max="16384" width="9" style="2"/>
  </cols>
  <sheetData>
    <row r="1" spans="2:15" ht="18.75" customHeight="1">
      <c r="G1" s="233" t="s">
        <v>38</v>
      </c>
      <c r="H1" s="233"/>
      <c r="I1" s="233"/>
    </row>
    <row r="2" spans="2:15" ht="40.5" customHeight="1">
      <c r="B2" s="234" t="s">
        <v>327</v>
      </c>
      <c r="C2" s="234"/>
      <c r="D2" s="234"/>
      <c r="E2" s="234"/>
      <c r="F2" s="234"/>
      <c r="G2" s="234"/>
      <c r="H2" s="234"/>
      <c r="I2" s="234"/>
    </row>
    <row r="3" spans="2:15" ht="18.75" customHeight="1">
      <c r="B3" s="3"/>
      <c r="C3" s="3"/>
      <c r="D3" s="3"/>
      <c r="E3" s="3"/>
      <c r="F3" s="33"/>
      <c r="G3" s="3"/>
      <c r="H3" s="3"/>
      <c r="I3" s="4"/>
    </row>
    <row r="4" spans="2:15" ht="18.75" customHeight="1">
      <c r="B4" s="9" t="s">
        <v>32</v>
      </c>
      <c r="C4" s="237"/>
      <c r="D4" s="237"/>
      <c r="E4" s="10"/>
      <c r="F4" s="10"/>
      <c r="G4" s="10"/>
      <c r="H4" s="10"/>
      <c r="I4" s="10"/>
    </row>
    <row r="5" spans="2:15" ht="18.75" customHeight="1">
      <c r="B5" s="9" t="s">
        <v>30</v>
      </c>
      <c r="C5" s="236"/>
      <c r="D5" s="236"/>
      <c r="E5" s="236"/>
      <c r="F5" s="30"/>
      <c r="G5" s="30"/>
      <c r="H5" s="5"/>
      <c r="I5" s="5"/>
    </row>
    <row r="6" spans="2:15" ht="18.75" customHeight="1">
      <c r="B6" s="9" t="s">
        <v>29</v>
      </c>
      <c r="C6" s="235" t="s">
        <v>60</v>
      </c>
      <c r="D6" s="235"/>
      <c r="E6" s="235"/>
      <c r="F6" s="235"/>
      <c r="G6" s="235"/>
      <c r="H6" s="235"/>
      <c r="I6" s="235"/>
    </row>
    <row r="7" spans="2:15" ht="18.75" customHeight="1">
      <c r="B7" s="9" t="s">
        <v>65</v>
      </c>
      <c r="C7" s="28"/>
      <c r="D7" s="19"/>
      <c r="E7" s="19"/>
      <c r="F7" s="25"/>
      <c r="G7" s="12"/>
      <c r="H7" s="12"/>
      <c r="I7" s="12"/>
    </row>
    <row r="8" spans="2:15" ht="18.75" customHeight="1" thickBot="1"/>
    <row r="9" spans="2:15" ht="18.75" customHeight="1" thickBot="1">
      <c r="C9" s="240" t="s">
        <v>35</v>
      </c>
      <c r="D9" s="240"/>
      <c r="E9" s="240"/>
      <c r="F9" s="240"/>
      <c r="G9" s="240"/>
      <c r="H9" s="146" t="s">
        <v>43</v>
      </c>
      <c r="I9" s="14" t="str">
        <f>IF(C7="","",VLOOKUP(C7,'DB（削除禁止）'!$R$4:$S$6,2,FALSE))</f>
        <v/>
      </c>
    </row>
    <row r="10" spans="2:15" ht="18.75" customHeight="1" thickBot="1"/>
    <row r="11" spans="2:15" ht="18.75" customHeight="1" thickBot="1">
      <c r="C11" s="228" t="s">
        <v>36</v>
      </c>
      <c r="D11" s="228"/>
      <c r="E11" s="228"/>
      <c r="F11" s="228"/>
      <c r="G11" s="228"/>
      <c r="H11" s="228"/>
      <c r="I11" s="7"/>
    </row>
    <row r="12" spans="2:15" ht="18.75" customHeight="1" thickBot="1"/>
    <row r="13" spans="2:15" ht="18.75" customHeight="1" thickBot="1">
      <c r="C13" s="228" t="s">
        <v>37</v>
      </c>
      <c r="D13" s="228"/>
      <c r="E13" s="228"/>
      <c r="F13" s="228"/>
      <c r="G13" s="228"/>
      <c r="H13" s="159" t="s">
        <v>42</v>
      </c>
      <c r="I13" s="8"/>
      <c r="K13" s="29"/>
      <c r="L13" s="29"/>
      <c r="M13" s="29"/>
      <c r="N13" s="29"/>
      <c r="O13" s="29"/>
    </row>
    <row r="14" spans="2:15" ht="18.75" customHeight="1" thickBot="1">
      <c r="N14" s="27"/>
    </row>
    <row r="15" spans="2:15" ht="18.75" customHeight="1" thickBot="1">
      <c r="C15" s="228" t="s">
        <v>105</v>
      </c>
      <c r="D15" s="228"/>
      <c r="E15" s="228"/>
      <c r="F15" s="228"/>
      <c r="G15" s="228"/>
      <c r="H15" s="146" t="s">
        <v>33</v>
      </c>
      <c r="I15" s="143" t="e">
        <f>ROUND(I9*I11*I13,0)</f>
        <v>#VALUE!</v>
      </c>
    </row>
    <row r="16" spans="2:15" ht="18.75" customHeight="1"/>
    <row r="17" spans="1:9" ht="18.75" customHeight="1">
      <c r="B17" s="33"/>
      <c r="C17" s="33"/>
      <c r="D17" s="33"/>
      <c r="E17" s="33"/>
      <c r="F17" s="33"/>
    </row>
    <row r="18" spans="1:9" ht="18.75" customHeight="1">
      <c r="B18" s="229" t="s">
        <v>44</v>
      </c>
      <c r="C18" s="229"/>
      <c r="D18" s="229"/>
      <c r="E18" s="229"/>
      <c r="F18" s="229"/>
      <c r="G18" s="229"/>
      <c r="H18" s="229"/>
      <c r="I18" s="229"/>
    </row>
    <row r="19" spans="1:9" ht="18.75" customHeight="1">
      <c r="A19" s="2" t="s">
        <v>34</v>
      </c>
      <c r="B19" s="238" t="s">
        <v>39</v>
      </c>
      <c r="C19" s="238"/>
      <c r="D19" s="238"/>
      <c r="E19" s="238"/>
      <c r="F19" s="238"/>
      <c r="G19" s="238"/>
      <c r="H19" s="238"/>
      <c r="I19" s="238"/>
    </row>
    <row r="20" spans="1:9" ht="18.75" customHeight="1">
      <c r="B20" s="3"/>
      <c r="C20" s="3"/>
      <c r="D20" s="3"/>
      <c r="E20" s="3"/>
      <c r="F20" s="33"/>
      <c r="G20" s="3"/>
      <c r="H20" s="3"/>
      <c r="I20" s="4"/>
    </row>
    <row r="21" spans="1:9" ht="18.75" customHeight="1"/>
    <row r="22" spans="1:9" ht="18.75" customHeight="1"/>
    <row r="23" spans="1:9" ht="18"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mergeCells count="11">
    <mergeCell ref="B19:I19"/>
    <mergeCell ref="G1:I1"/>
    <mergeCell ref="B2:I2"/>
    <mergeCell ref="C6:I6"/>
    <mergeCell ref="C5:E5"/>
    <mergeCell ref="C4:D4"/>
    <mergeCell ref="C11:H11"/>
    <mergeCell ref="B18:I18"/>
    <mergeCell ref="C15:G15"/>
    <mergeCell ref="C9:G9"/>
    <mergeCell ref="C13:G13"/>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'DB（削除禁止）'!$R$4:$R$6</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89"/>
  <sheetViews>
    <sheetView view="pageBreakPreview" zoomScale="85" zoomScaleNormal="85" zoomScaleSheetLayoutView="85" workbookViewId="0">
      <selection activeCell="C25" sqref="C25:G25"/>
    </sheetView>
  </sheetViews>
  <sheetFormatPr defaultColWidth="9" defaultRowHeight="13"/>
  <cols>
    <col min="1" max="1" width="1.26953125" style="2" customWidth="1"/>
    <col min="2" max="2" width="13.90625" style="2" bestFit="1" customWidth="1"/>
    <col min="3" max="3" width="14" style="2" customWidth="1"/>
    <col min="4" max="6" width="9" style="2" customWidth="1"/>
    <col min="7" max="7" width="9" style="29" customWidth="1"/>
    <col min="8" max="8" width="9" style="2" customWidth="1"/>
    <col min="9" max="9" width="15" style="44" customWidth="1"/>
    <col min="10" max="16384" width="9" style="2"/>
  </cols>
  <sheetData>
    <row r="1" spans="2:9" ht="18.75" customHeight="1">
      <c r="F1" s="233" t="s">
        <v>38</v>
      </c>
      <c r="G1" s="233"/>
      <c r="H1" s="233"/>
      <c r="I1" s="233"/>
    </row>
    <row r="2" spans="2:9" ht="40.5" customHeight="1">
      <c r="B2" s="234" t="s">
        <v>327</v>
      </c>
      <c r="C2" s="234"/>
      <c r="D2" s="234"/>
      <c r="E2" s="234"/>
      <c r="F2" s="234"/>
      <c r="G2" s="234"/>
      <c r="H2" s="234"/>
      <c r="I2" s="234"/>
    </row>
    <row r="3" spans="2:9" ht="18.75" customHeight="1">
      <c r="B3" s="3"/>
      <c r="C3" s="3"/>
      <c r="D3" s="3"/>
      <c r="E3" s="3"/>
      <c r="F3" s="3"/>
      <c r="G3" s="33"/>
      <c r="H3" s="3"/>
      <c r="I3" s="43"/>
    </row>
    <row r="4" spans="2:9" ht="18.75" customHeight="1">
      <c r="B4" s="9" t="s">
        <v>32</v>
      </c>
      <c r="C4" s="237"/>
      <c r="D4" s="237"/>
      <c r="E4" s="10"/>
      <c r="F4" s="10"/>
      <c r="G4" s="10"/>
      <c r="H4" s="10"/>
      <c r="I4" s="10"/>
    </row>
    <row r="5" spans="2:9" ht="18.75" customHeight="1">
      <c r="B5" s="9" t="s">
        <v>30</v>
      </c>
      <c r="C5" s="236"/>
      <c r="D5" s="236"/>
      <c r="E5" s="236"/>
      <c r="F5" s="5"/>
      <c r="G5" s="30"/>
      <c r="H5" s="5"/>
      <c r="I5" s="41"/>
    </row>
    <row r="6" spans="2:9" ht="18.75" customHeight="1">
      <c r="B6" s="9" t="s">
        <v>29</v>
      </c>
      <c r="C6" s="235" t="s">
        <v>66</v>
      </c>
      <c r="D6" s="235"/>
      <c r="E6" s="235"/>
      <c r="F6" s="235"/>
      <c r="G6" s="235"/>
      <c r="H6" s="235"/>
      <c r="I6" s="235"/>
    </row>
    <row r="7" spans="2:9" ht="18.75" customHeight="1">
      <c r="B7" s="9" t="s">
        <v>65</v>
      </c>
      <c r="C7" s="242" t="s">
        <v>74</v>
      </c>
      <c r="D7" s="242"/>
      <c r="E7" s="242"/>
      <c r="F7" s="242"/>
      <c r="G7" s="25"/>
      <c r="H7" s="19"/>
      <c r="I7" s="41"/>
    </row>
    <row r="8" spans="2:9" ht="18.75" customHeight="1" thickBot="1"/>
    <row r="9" spans="2:9" ht="18.75" customHeight="1" thickBot="1">
      <c r="C9" s="228" t="s">
        <v>27</v>
      </c>
      <c r="D9" s="228"/>
      <c r="E9" s="228"/>
      <c r="F9" s="228"/>
      <c r="G9" s="228"/>
      <c r="H9" s="228"/>
      <c r="I9" s="14">
        <f>'DB（削除禁止）'!W4</f>
        <v>2300</v>
      </c>
    </row>
    <row r="10" spans="2:9" ht="11.25" customHeight="1" thickBot="1"/>
    <row r="11" spans="2:9" ht="18.75" customHeight="1" thickBot="1">
      <c r="C11" s="240" t="str">
        <f>"　　病床数による減算（－"&amp;'DB（削除禁止）'!X7&amp;"㎡／床）"</f>
        <v>　　病床数による減算（－30㎡／床）</v>
      </c>
      <c r="D11" s="240"/>
      <c r="E11" s="240"/>
      <c r="F11" s="240"/>
      <c r="G11" s="23"/>
      <c r="H11" s="21"/>
      <c r="I11" s="14" t="str">
        <f>IF(E12="","",IF(E12&lt;30,(30-E12)*'DB（削除禁止）'!X7*-1,0))</f>
        <v/>
      </c>
    </row>
    <row r="12" spans="2:9" ht="18.75" customHeight="1" thickBot="1">
      <c r="C12" s="231" t="s">
        <v>68</v>
      </c>
      <c r="D12" s="231"/>
      <c r="E12" s="31"/>
      <c r="F12" s="18"/>
      <c r="G12" s="23"/>
      <c r="H12" s="18"/>
      <c r="I12" s="16"/>
    </row>
    <row r="13" spans="2:9" s="136" customFormat="1" ht="18.75" customHeight="1">
      <c r="C13" s="244" t="str">
        <f>"※30床未満の場合は、不足分1床あたり"&amp;'DB（削除禁止）'!X7&amp;"㎡を減じるものとする。"</f>
        <v>※30床未満の場合は、不足分1床あたり30㎡を減じるものとする。</v>
      </c>
      <c r="D13" s="244"/>
      <c r="E13" s="244"/>
      <c r="F13" s="244"/>
      <c r="G13" s="244"/>
      <c r="H13" s="244"/>
      <c r="I13" s="244"/>
    </row>
    <row r="14" spans="2:9" ht="11.25" customHeight="1" thickBot="1"/>
    <row r="15" spans="2:9" ht="18.75" customHeight="1" thickBot="1">
      <c r="C15" s="240" t="str">
        <f>"　　脳卒中専用病室(ＳＣＵ)（"&amp;'DB（削除禁止）'!X22&amp;"㎡／床）"</f>
        <v>　　脳卒中専用病室(ＳＣＵ)（15㎡／床）</v>
      </c>
      <c r="D15" s="240"/>
      <c r="E15" s="240"/>
      <c r="F15" s="240"/>
      <c r="G15" s="23"/>
      <c r="H15" s="21"/>
      <c r="I15" s="14" t="str">
        <f>IF(E16="","",VLOOKUP(E16,'DB（削除禁止）'!$W$10:$X$14,2,FALSE))</f>
        <v/>
      </c>
    </row>
    <row r="16" spans="2:9" ht="18.75" customHeight="1" thickBot="1">
      <c r="C16" s="231" t="s">
        <v>56</v>
      </c>
      <c r="D16" s="231"/>
      <c r="E16" s="31"/>
      <c r="F16" s="18"/>
      <c r="G16" s="23"/>
      <c r="H16" s="18"/>
      <c r="I16" s="16"/>
    </row>
    <row r="17" spans="3:13" ht="11.25" customHeight="1" thickBot="1"/>
    <row r="18" spans="3:13" ht="18.75" customHeight="1" thickBot="1">
      <c r="C18" s="240" t="str">
        <f>"　　小児救急専門病床（小児専門集中治療室）加算（"&amp;'DB（削除禁止）'!X22&amp;"㎡／床）"</f>
        <v>　　小児救急専門病床（小児専門集中治療室）加算（15㎡／床）</v>
      </c>
      <c r="D18" s="240"/>
      <c r="E18" s="240"/>
      <c r="F18" s="240"/>
      <c r="G18" s="240"/>
      <c r="H18" s="241"/>
      <c r="I18" s="14" t="str">
        <f>IF(E19="","",VLOOKUP(E19,'DB（削除禁止）'!$W$15:$X$21,2,FALSE))</f>
        <v/>
      </c>
    </row>
    <row r="19" spans="3:13" ht="18.75" customHeight="1" thickBot="1">
      <c r="C19" s="231" t="s">
        <v>56</v>
      </c>
      <c r="D19" s="231"/>
      <c r="E19" s="31"/>
      <c r="F19" s="18"/>
      <c r="G19" s="23"/>
      <c r="H19" s="18"/>
      <c r="I19" s="16"/>
    </row>
    <row r="20" spans="3:13" ht="11.25" customHeight="1" thickBot="1"/>
    <row r="21" spans="3:13" ht="18.75" customHeight="1" thickBot="1">
      <c r="C21" s="240" t="str">
        <f>"　　心臓病専用病室（ＣＣＵ）加算（"&amp;'DB（削除禁止）'!X22&amp;"㎡／床）"</f>
        <v>　　心臓病専用病室（ＣＣＵ）加算（15㎡／床）</v>
      </c>
      <c r="D21" s="240"/>
      <c r="E21" s="240"/>
      <c r="F21" s="240"/>
      <c r="G21" s="240"/>
      <c r="H21" s="21"/>
      <c r="I21" s="14" t="str">
        <f>IF(E22="","",VLOOKUP(E22,'DB（削除禁止）'!$W$10:$X$14,2,FALSE))</f>
        <v/>
      </c>
    </row>
    <row r="22" spans="3:13" ht="18.75" customHeight="1" thickBot="1">
      <c r="C22" s="231" t="s">
        <v>56</v>
      </c>
      <c r="D22" s="231"/>
      <c r="E22" s="31"/>
      <c r="F22" s="18"/>
      <c r="G22" s="23"/>
      <c r="H22" s="18"/>
      <c r="I22" s="16"/>
    </row>
    <row r="23" spans="3:13" ht="11.25" customHeight="1" thickBot="1">
      <c r="C23" s="21"/>
      <c r="D23" s="18"/>
      <c r="E23" s="18"/>
      <c r="F23" s="18"/>
      <c r="G23" s="23"/>
      <c r="H23" s="18"/>
      <c r="I23" s="16"/>
    </row>
    <row r="24" spans="3:13" ht="18.75" customHeight="1" thickBot="1">
      <c r="C24" s="243" t="str">
        <f>"　　重傷外傷専用病室（重傷外傷用集中治療室）加算（"&amp;'DB（削除禁止）'!X22&amp;"㎡／床）"</f>
        <v>　　重傷外傷専用病室（重傷外傷用集中治療室）加算（15㎡／床）</v>
      </c>
      <c r="D24" s="243"/>
      <c r="E24" s="243"/>
      <c r="F24" s="243"/>
      <c r="G24" s="243"/>
      <c r="H24" s="243"/>
      <c r="I24" s="14" t="str">
        <f>IF(E25="","",VLOOKUP(E25,'DB（削除禁止）'!$W$10:$X$14,2,FALSE))</f>
        <v/>
      </c>
    </row>
    <row r="25" spans="3:13" ht="18.75" customHeight="1" thickBot="1">
      <c r="C25" s="231" t="s">
        <v>56</v>
      </c>
      <c r="D25" s="231"/>
      <c r="E25" s="31"/>
      <c r="F25" s="18"/>
      <c r="G25" s="23"/>
      <c r="H25" s="18"/>
    </row>
    <row r="26" spans="3:13" ht="12" customHeight="1" thickBot="1">
      <c r="C26" s="21"/>
      <c r="D26" s="18"/>
      <c r="E26" s="18"/>
      <c r="F26" s="18"/>
      <c r="G26" s="23"/>
      <c r="H26" s="18"/>
    </row>
    <row r="27" spans="3:13" s="29" customFormat="1" ht="18.75" customHeight="1" thickBot="1">
      <c r="C27" s="26"/>
      <c r="D27" s="23"/>
      <c r="E27" s="23"/>
      <c r="F27" s="23"/>
      <c r="G27" s="23"/>
      <c r="H27" s="32" t="s">
        <v>101</v>
      </c>
      <c r="I27" s="38">
        <f>SUM(I9,I11,I15,I18,I21,I24)</f>
        <v>2300</v>
      </c>
    </row>
    <row r="28" spans="3:13" s="29" customFormat="1" ht="12" customHeight="1" thickBot="1">
      <c r="C28" s="26"/>
      <c r="D28" s="23"/>
      <c r="E28" s="23"/>
      <c r="F28" s="23"/>
      <c r="G28" s="23"/>
      <c r="H28" s="23"/>
      <c r="I28" s="44"/>
    </row>
    <row r="29" spans="3:13" ht="18.75" customHeight="1" thickBot="1">
      <c r="C29" s="240" t="s">
        <v>28</v>
      </c>
      <c r="D29" s="240"/>
      <c r="E29" s="240"/>
      <c r="F29" s="240"/>
      <c r="G29" s="240"/>
      <c r="H29" s="241"/>
      <c r="I29" s="142"/>
    </row>
    <row r="30" spans="3:13" ht="12" customHeight="1" thickBot="1">
      <c r="I30" s="6"/>
      <c r="M30" s="21"/>
    </row>
    <row r="31" spans="3:13" ht="18.75" customHeight="1" thickBot="1">
      <c r="C31" s="240" t="s">
        <v>58</v>
      </c>
      <c r="D31" s="240"/>
      <c r="E31" s="240"/>
      <c r="F31" s="240"/>
      <c r="G31" s="240"/>
      <c r="H31" s="241"/>
      <c r="I31" s="143" t="str">
        <f>IF(I29="","",MIN(I27,I29))</f>
        <v/>
      </c>
    </row>
    <row r="32" spans="3:13" ht="12" customHeight="1" thickBot="1"/>
    <row r="33" spans="1:10" ht="18.75" customHeight="1" thickBot="1">
      <c r="C33" s="240" t="s">
        <v>41</v>
      </c>
      <c r="D33" s="240"/>
      <c r="E33" s="240"/>
      <c r="F33" s="240"/>
      <c r="G33" s="240"/>
      <c r="H33" s="241"/>
      <c r="I33" s="8"/>
    </row>
    <row r="34" spans="1:10" ht="12" customHeight="1" thickBot="1">
      <c r="I34" s="6"/>
    </row>
    <row r="35" spans="1:10" ht="18.75" customHeight="1" thickBot="1">
      <c r="C35" s="240" t="s">
        <v>106</v>
      </c>
      <c r="D35" s="240"/>
      <c r="E35" s="240"/>
      <c r="F35" s="240"/>
      <c r="G35" s="240"/>
      <c r="H35" s="146" t="s">
        <v>42</v>
      </c>
      <c r="I35" s="143" t="e">
        <f>ROUND(I31*I33,2)</f>
        <v>#VALUE!</v>
      </c>
    </row>
    <row r="36" spans="1:10" ht="12" customHeight="1" thickBot="1">
      <c r="I36" s="6"/>
    </row>
    <row r="37" spans="1:10" ht="18.75" customHeight="1" thickBot="1">
      <c r="C37" s="240" t="s">
        <v>98</v>
      </c>
      <c r="D37" s="240"/>
      <c r="E37" s="240"/>
      <c r="F37" s="240"/>
      <c r="G37" s="240"/>
      <c r="H37" s="241"/>
      <c r="I37" s="14">
        <f>'DB別表3（削除禁止）'!F8</f>
        <v>250000</v>
      </c>
    </row>
    <row r="38" spans="1:10" ht="12" customHeight="1" thickBot="1">
      <c r="I38" s="6"/>
    </row>
    <row r="39" spans="1:10" ht="18.75" customHeight="1" thickBot="1">
      <c r="C39" s="240" t="s">
        <v>99</v>
      </c>
      <c r="D39" s="240"/>
      <c r="E39" s="240"/>
      <c r="F39" s="240"/>
      <c r="G39" s="240"/>
      <c r="H39" s="241"/>
      <c r="I39" s="142"/>
    </row>
    <row r="40" spans="1:10" ht="12" customHeight="1" thickBot="1">
      <c r="I40" s="6"/>
    </row>
    <row r="41" spans="1:10" ht="18.75" customHeight="1" thickBot="1">
      <c r="C41" s="240" t="s">
        <v>100</v>
      </c>
      <c r="D41" s="240"/>
      <c r="E41" s="240"/>
      <c r="F41" s="240"/>
      <c r="G41" s="23"/>
      <c r="H41" s="146" t="s">
        <v>43</v>
      </c>
      <c r="I41" s="143" t="str">
        <f>IF(OR(I37="",I39=""),"",MIN(I37,I39))</f>
        <v/>
      </c>
    </row>
    <row r="42" spans="1:10" ht="12" customHeight="1" thickBot="1">
      <c r="I42" s="6"/>
    </row>
    <row r="43" spans="1:10" ht="18" customHeight="1" thickBot="1">
      <c r="C43" s="240" t="s">
        <v>107</v>
      </c>
      <c r="D43" s="240"/>
      <c r="E43" s="240"/>
      <c r="F43" s="240"/>
      <c r="G43" s="240"/>
      <c r="H43" s="146" t="s">
        <v>33</v>
      </c>
      <c r="I43" s="145" t="e">
        <f>ROUND(I35*I41,0)</f>
        <v>#VALUE!</v>
      </c>
    </row>
    <row r="44" spans="1:10" ht="18.75" customHeight="1">
      <c r="B44" s="118"/>
      <c r="C44" s="118"/>
      <c r="D44" s="118"/>
      <c r="E44" s="118"/>
    </row>
    <row r="45" spans="1:10" s="29" customFormat="1" ht="18.75" customHeight="1">
      <c r="B45" s="24"/>
      <c r="C45" s="24"/>
      <c r="D45" s="24"/>
      <c r="E45" s="24"/>
      <c r="I45" s="44"/>
    </row>
    <row r="46" spans="1:10" ht="18.75" customHeight="1">
      <c r="B46" s="238" t="s">
        <v>137</v>
      </c>
      <c r="C46" s="238"/>
      <c r="D46" s="238"/>
      <c r="E46" s="238"/>
      <c r="F46" s="238"/>
      <c r="G46" s="238"/>
      <c r="H46" s="238"/>
      <c r="I46" s="238"/>
      <c r="J46" s="43"/>
    </row>
    <row r="47" spans="1:10" ht="18.75" customHeight="1">
      <c r="A47" s="2" t="s">
        <v>34</v>
      </c>
      <c r="B47" s="238" t="s">
        <v>138</v>
      </c>
      <c r="C47" s="238"/>
      <c r="D47" s="238"/>
      <c r="E47" s="238"/>
      <c r="F47" s="238"/>
      <c r="G47" s="238"/>
      <c r="H47" s="238"/>
      <c r="I47" s="238"/>
      <c r="J47" s="43"/>
    </row>
    <row r="48" spans="1:10" ht="18.75" customHeight="1">
      <c r="B48" s="3"/>
      <c r="C48" s="3"/>
      <c r="D48" s="3"/>
      <c r="E48" s="3"/>
      <c r="F48" s="3"/>
      <c r="G48" s="33"/>
      <c r="H48" s="3"/>
      <c r="I48" s="43"/>
    </row>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sheetData>
  <mergeCells count="28">
    <mergeCell ref="C21:G21"/>
    <mergeCell ref="C35:G35"/>
    <mergeCell ref="C43:G43"/>
    <mergeCell ref="C12:D12"/>
    <mergeCell ref="C15:F15"/>
    <mergeCell ref="C16:D16"/>
    <mergeCell ref="C24:H24"/>
    <mergeCell ref="C25:D25"/>
    <mergeCell ref="C29:H29"/>
    <mergeCell ref="C31:H31"/>
    <mergeCell ref="C33:H33"/>
    <mergeCell ref="C22:D22"/>
    <mergeCell ref="C19:D19"/>
    <mergeCell ref="C18:H18"/>
    <mergeCell ref="C13:I13"/>
    <mergeCell ref="B46:I46"/>
    <mergeCell ref="B47:I47"/>
    <mergeCell ref="C37:H37"/>
    <mergeCell ref="C39:H39"/>
    <mergeCell ref="C41:F41"/>
    <mergeCell ref="C11:F11"/>
    <mergeCell ref="F1:I1"/>
    <mergeCell ref="B2:I2"/>
    <mergeCell ref="C4:D4"/>
    <mergeCell ref="C6:I6"/>
    <mergeCell ref="C5:E5"/>
    <mergeCell ref="C9:H9"/>
    <mergeCell ref="C7:F7"/>
  </mergeCells>
  <phoneticPr fontId="1"/>
  <conditionalFormatting sqref="I29">
    <cfRule type="expression" dxfId="285" priority="9">
      <formula>IF(RIGHT(TEXT($I29,"0.#"),1)=".",FALSE,TRUE)</formula>
    </cfRule>
    <cfRule type="expression" dxfId="284" priority="10">
      <formula>IF(RIGHT(TEXT($I29,"0.#"),1)=".",TRUE,FALSE)</formula>
    </cfRule>
  </conditionalFormatting>
  <conditionalFormatting sqref="I31">
    <cfRule type="expression" dxfId="283" priority="7">
      <formula>IF(RIGHT(TEXT($I31,"0.#"),1)=".",FALSE,TRUE)</formula>
    </cfRule>
    <cfRule type="expression" dxfId="282" priority="8">
      <formula>IF(RIGHT(TEXT($I31,"0.#"),1)=".",TRUE,FALSE)</formula>
    </cfRule>
  </conditionalFormatting>
  <conditionalFormatting sqref="I39">
    <cfRule type="expression" dxfId="281" priority="5">
      <formula>IF(RIGHT(TEXT($I39,"0.#"),1)=".",FALSE,TRUE)</formula>
    </cfRule>
    <cfRule type="expression" dxfId="280" priority="6">
      <formula>IF(RIGHT(TEXT($I39,"0.#"),1)=".",TRUE,FALSE)</formula>
    </cfRule>
  </conditionalFormatting>
  <conditionalFormatting sqref="I35">
    <cfRule type="expression" dxfId="279" priority="3">
      <formula>IF(RIGHT(TEXT($I35,"0.#"),1)=".",FALSE,TRUE)</formula>
    </cfRule>
    <cfRule type="expression" dxfId="278" priority="4">
      <formula>IF(RIGHT(TEXT($I35,"0.#"),1)=".",TRUE,FALSE)</formula>
    </cfRule>
  </conditionalFormatting>
  <conditionalFormatting sqref="I41">
    <cfRule type="expression" dxfId="277" priority="1">
      <formula>IF(RIGHT(TEXT($I41,"0.#"),1)=".",FALSE,TRUE)</formula>
    </cfRule>
    <cfRule type="expression" dxfId="276" priority="2">
      <formula>IF(RIGHT(TEXT($I41,"0.#"),1)=".",TRUE,FALSE)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'DB（削除禁止）'!$W$10:$W$14</xm:f>
          </x14:formula1>
          <xm:sqref>E22 E16 E25</xm:sqref>
        </x14:dataValidation>
        <x14:dataValidation type="list" allowBlank="1" showInputMessage="1" showErrorMessage="1">
          <x14:formula1>
            <xm:f>'DB（削除禁止）'!$W$15:$W$21</xm:f>
          </x14:formula1>
          <xm:sqref>E19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61"/>
  <sheetViews>
    <sheetView view="pageBreakPreview" zoomScale="85" zoomScaleNormal="85" zoomScaleSheetLayoutView="85" workbookViewId="0">
      <selection activeCell="C25" sqref="C25:G25"/>
    </sheetView>
  </sheetViews>
  <sheetFormatPr defaultColWidth="9" defaultRowHeight="13"/>
  <cols>
    <col min="1" max="1" width="1.26953125" style="2" customWidth="1"/>
    <col min="2" max="2" width="13.90625" style="2" bestFit="1" customWidth="1"/>
    <col min="3" max="3" width="14" style="2" customWidth="1"/>
    <col min="4" max="4" width="9" style="29" customWidth="1"/>
    <col min="5" max="8" width="9" style="2" customWidth="1"/>
    <col min="9" max="9" width="15" style="6" customWidth="1"/>
    <col min="10" max="16384" width="9" style="2"/>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3"/>
      <c r="C3" s="3"/>
      <c r="D3" s="33"/>
      <c r="E3" s="3"/>
      <c r="F3" s="3"/>
      <c r="G3" s="3"/>
      <c r="H3" s="3"/>
      <c r="I3" s="4"/>
    </row>
    <row r="4" spans="2:9" ht="18.75" customHeight="1">
      <c r="B4" s="9" t="s">
        <v>32</v>
      </c>
      <c r="C4" s="237"/>
      <c r="D4" s="237"/>
      <c r="E4" s="10"/>
      <c r="F4" s="10"/>
      <c r="G4" s="10"/>
      <c r="H4" s="10"/>
      <c r="I4" s="10"/>
    </row>
    <row r="5" spans="2:9" ht="18.75" customHeight="1">
      <c r="B5" s="9" t="s">
        <v>30</v>
      </c>
      <c r="C5" s="236"/>
      <c r="D5" s="236"/>
      <c r="E5" s="236"/>
      <c r="F5" s="30"/>
      <c r="G5" s="5"/>
      <c r="H5" s="5"/>
      <c r="I5" s="5"/>
    </row>
    <row r="6" spans="2:9" ht="18.75" customHeight="1">
      <c r="B6" s="9" t="s">
        <v>29</v>
      </c>
      <c r="C6" s="235" t="s">
        <v>66</v>
      </c>
      <c r="D6" s="235"/>
      <c r="E6" s="235"/>
      <c r="F6" s="235"/>
      <c r="G6" s="235"/>
      <c r="H6" s="235"/>
      <c r="I6" s="235"/>
    </row>
    <row r="7" spans="2:9" ht="18.75" customHeight="1">
      <c r="B7" s="9" t="s">
        <v>65</v>
      </c>
      <c r="C7" s="5" t="s">
        <v>23</v>
      </c>
      <c r="D7" s="30"/>
      <c r="E7" s="5"/>
      <c r="F7" s="5"/>
      <c r="G7" s="19"/>
      <c r="H7" s="19"/>
      <c r="I7" s="19"/>
    </row>
    <row r="8" spans="2:9" ht="18.75" customHeight="1" thickBot="1"/>
    <row r="9" spans="2:9" ht="18.75" customHeight="1" thickBot="1">
      <c r="C9" s="240" t="s">
        <v>35</v>
      </c>
      <c r="D9" s="240"/>
      <c r="E9" s="240"/>
      <c r="F9" s="240"/>
      <c r="G9" s="240"/>
      <c r="H9" s="146" t="s">
        <v>43</v>
      </c>
      <c r="I9" s="14">
        <f>'DB（削除禁止）'!X25</f>
        <v>78345000</v>
      </c>
    </row>
    <row r="10" spans="2:9" ht="18.75" customHeight="1" thickBot="1">
      <c r="C10" s="29"/>
      <c r="E10" s="29"/>
      <c r="F10" s="29"/>
      <c r="G10" s="29"/>
      <c r="H10" s="29"/>
    </row>
    <row r="11" spans="2:9" ht="18.75" customHeight="1" thickBot="1">
      <c r="C11" s="228" t="s">
        <v>36</v>
      </c>
      <c r="D11" s="228"/>
      <c r="E11" s="228"/>
      <c r="F11" s="228"/>
      <c r="G11" s="228"/>
      <c r="H11" s="228"/>
      <c r="I11" s="7"/>
    </row>
    <row r="12" spans="2:9" ht="18.75" customHeight="1" thickBot="1">
      <c r="C12" s="29"/>
      <c r="E12" s="29"/>
      <c r="F12" s="29"/>
      <c r="G12" s="29"/>
      <c r="H12" s="29"/>
    </row>
    <row r="13" spans="2:9" ht="18.75" customHeight="1" thickBot="1">
      <c r="C13" s="228" t="s">
        <v>37</v>
      </c>
      <c r="D13" s="228"/>
      <c r="E13" s="228"/>
      <c r="F13" s="228"/>
      <c r="G13" s="228"/>
      <c r="H13" s="159" t="s">
        <v>42</v>
      </c>
      <c r="I13" s="8"/>
    </row>
    <row r="14" spans="2:9" ht="18.75" customHeight="1" thickBot="1">
      <c r="C14" s="29"/>
      <c r="E14" s="29"/>
      <c r="F14" s="29"/>
      <c r="G14" s="29"/>
      <c r="H14" s="29"/>
      <c r="I14" s="29"/>
    </row>
    <row r="15" spans="2:9" ht="18.75" customHeight="1" thickBot="1">
      <c r="C15" s="228" t="s">
        <v>105</v>
      </c>
      <c r="D15" s="228"/>
      <c r="E15" s="228"/>
      <c r="F15" s="228"/>
      <c r="G15" s="228"/>
      <c r="H15" s="146" t="s">
        <v>33</v>
      </c>
      <c r="I15" s="143">
        <f>ROUND(I9*I11*I13,0)</f>
        <v>0</v>
      </c>
    </row>
    <row r="16" spans="2:9" ht="18.75" customHeight="1">
      <c r="H16" s="20"/>
    </row>
    <row r="17" spans="1:9" ht="18.75" customHeight="1"/>
    <row r="18" spans="1:9" ht="18.75" customHeight="1">
      <c r="B18" s="229" t="s">
        <v>44</v>
      </c>
      <c r="C18" s="229"/>
      <c r="D18" s="229"/>
      <c r="E18" s="229"/>
      <c r="F18" s="229"/>
      <c r="G18" s="229"/>
      <c r="H18" s="229"/>
      <c r="I18" s="229"/>
    </row>
    <row r="19" spans="1:9" ht="18.75" customHeight="1">
      <c r="A19" s="2" t="s">
        <v>34</v>
      </c>
      <c r="B19" s="229" t="s">
        <v>39</v>
      </c>
      <c r="C19" s="229"/>
      <c r="D19" s="229"/>
      <c r="E19" s="229"/>
      <c r="F19" s="229"/>
      <c r="G19" s="229"/>
      <c r="H19" s="229"/>
      <c r="I19" s="229"/>
    </row>
    <row r="20" spans="1:9" ht="18.75" customHeight="1">
      <c r="B20" s="3"/>
      <c r="C20" s="3"/>
      <c r="D20" s="33"/>
      <c r="E20" s="3"/>
      <c r="F20" s="3"/>
      <c r="G20" s="3"/>
      <c r="H20" s="3"/>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mergeCells count="11">
    <mergeCell ref="B19:I19"/>
    <mergeCell ref="G1:I1"/>
    <mergeCell ref="B2:I2"/>
    <mergeCell ref="C6:I6"/>
    <mergeCell ref="C15:G15"/>
    <mergeCell ref="C4:D4"/>
    <mergeCell ref="C5:E5"/>
    <mergeCell ref="C11:H11"/>
    <mergeCell ref="B18:I18"/>
    <mergeCell ref="C9:G9"/>
    <mergeCell ref="C13:G13"/>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71"/>
  <sheetViews>
    <sheetView view="pageBreakPreview" zoomScale="85" zoomScaleNormal="85" zoomScaleSheetLayoutView="85" workbookViewId="0">
      <selection activeCell="C25" sqref="C25:G25"/>
    </sheetView>
  </sheetViews>
  <sheetFormatPr defaultColWidth="9" defaultRowHeight="13"/>
  <cols>
    <col min="1" max="1" width="1.26953125" style="122" customWidth="1"/>
    <col min="2" max="2" width="13.90625" style="122" bestFit="1" customWidth="1"/>
    <col min="3" max="3" width="14" style="122" customWidth="1"/>
    <col min="4" max="5" width="9" style="122"/>
    <col min="6" max="8" width="9" style="122" customWidth="1"/>
    <col min="9" max="9" width="15" style="6" customWidth="1"/>
    <col min="10" max="16384" width="9" style="122"/>
  </cols>
  <sheetData>
    <row r="1" spans="2:10" ht="18.75" customHeight="1">
      <c r="G1" s="233" t="s">
        <v>38</v>
      </c>
      <c r="H1" s="233"/>
      <c r="I1" s="233"/>
    </row>
    <row r="2" spans="2:10" ht="40.5" customHeight="1">
      <c r="B2" s="234" t="s">
        <v>327</v>
      </c>
      <c r="C2" s="234"/>
      <c r="D2" s="234"/>
      <c r="E2" s="234"/>
      <c r="F2" s="234"/>
      <c r="G2" s="234"/>
      <c r="H2" s="234"/>
      <c r="I2" s="234"/>
    </row>
    <row r="3" spans="2:10" ht="18.75" customHeight="1">
      <c r="B3" s="118"/>
      <c r="C3" s="118"/>
      <c r="D3" s="118"/>
      <c r="E3" s="118"/>
      <c r="F3" s="118"/>
      <c r="G3" s="118"/>
      <c r="H3" s="118"/>
      <c r="I3" s="4"/>
    </row>
    <row r="4" spans="2:10" ht="18.75" customHeight="1">
      <c r="B4" s="9" t="s">
        <v>32</v>
      </c>
      <c r="C4" s="237"/>
      <c r="D4" s="237"/>
      <c r="E4" s="10"/>
      <c r="F4" s="10"/>
      <c r="G4" s="10"/>
      <c r="H4" s="10"/>
      <c r="I4" s="10"/>
    </row>
    <row r="5" spans="2:10" ht="18.75" customHeight="1">
      <c r="B5" s="9" t="s">
        <v>30</v>
      </c>
      <c r="C5" s="236"/>
      <c r="D5" s="236"/>
      <c r="E5" s="236"/>
      <c r="F5" s="121"/>
      <c r="G5" s="121"/>
      <c r="H5" s="121"/>
      <c r="I5" s="121"/>
    </row>
    <row r="6" spans="2:10" ht="18.75" customHeight="1">
      <c r="B6" s="9" t="s">
        <v>29</v>
      </c>
      <c r="C6" s="235" t="s">
        <v>66</v>
      </c>
      <c r="D6" s="235"/>
      <c r="E6" s="235"/>
      <c r="F6" s="235"/>
      <c r="G6" s="235"/>
      <c r="H6" s="235"/>
      <c r="I6" s="235"/>
      <c r="J6" s="121"/>
    </row>
    <row r="7" spans="2:10" ht="18.75" customHeight="1">
      <c r="B7" s="9" t="s">
        <v>65</v>
      </c>
      <c r="C7" s="242" t="s">
        <v>77</v>
      </c>
      <c r="D7" s="242"/>
      <c r="E7" s="242"/>
      <c r="F7" s="242"/>
      <c r="G7" s="123"/>
      <c r="H7" s="123"/>
      <c r="I7" s="123"/>
      <c r="J7" s="123"/>
    </row>
    <row r="8" spans="2:10" ht="18.75" customHeight="1" thickBot="1"/>
    <row r="9" spans="2:10" ht="18.75" customHeight="1" thickBot="1">
      <c r="C9" s="228" t="s">
        <v>27</v>
      </c>
      <c r="D9" s="228"/>
      <c r="E9" s="228"/>
      <c r="F9" s="228"/>
      <c r="G9" s="228"/>
      <c r="H9" s="228"/>
      <c r="I9" s="14">
        <f>'DB（削除禁止）'!X28</f>
        <v>2300</v>
      </c>
    </row>
    <row r="10" spans="2:10" ht="18.75" customHeight="1" thickBot="1"/>
    <row r="11" spans="2:10" ht="18.75" customHeight="1" thickBot="1">
      <c r="C11" s="228" t="s">
        <v>28</v>
      </c>
      <c r="D11" s="228"/>
      <c r="E11" s="228"/>
      <c r="F11" s="228"/>
      <c r="G11" s="228"/>
      <c r="H11" s="228"/>
      <c r="I11" s="142"/>
    </row>
    <row r="12" spans="2:10" ht="18.75" customHeight="1" thickBot="1"/>
    <row r="13" spans="2:10" ht="18.75" customHeight="1" thickBot="1">
      <c r="C13" s="228" t="s">
        <v>40</v>
      </c>
      <c r="D13" s="228"/>
      <c r="E13" s="228"/>
      <c r="F13" s="228"/>
      <c r="G13" s="228"/>
      <c r="H13" s="228"/>
      <c r="I13" s="143" t="str">
        <f>IF(I11="","",MIN(I9,I11))</f>
        <v/>
      </c>
    </row>
    <row r="14" spans="2:10" ht="18.75" customHeight="1" thickBot="1">
      <c r="I14" s="122"/>
    </row>
    <row r="15" spans="2:10" ht="18.75" customHeight="1" thickBot="1">
      <c r="C15" s="228" t="s">
        <v>41</v>
      </c>
      <c r="D15" s="228"/>
      <c r="E15" s="228"/>
      <c r="F15" s="228"/>
      <c r="G15" s="228"/>
      <c r="H15" s="228"/>
      <c r="I15" s="8"/>
    </row>
    <row r="16" spans="2:10" ht="18.75" customHeight="1" thickBot="1"/>
    <row r="17" spans="1:10" ht="18.75" customHeight="1" thickBot="1">
      <c r="C17" s="240" t="s">
        <v>102</v>
      </c>
      <c r="D17" s="240"/>
      <c r="E17" s="240"/>
      <c r="F17" s="240"/>
      <c r="G17" s="240"/>
      <c r="H17" s="146" t="s">
        <v>42</v>
      </c>
      <c r="I17" s="143" t="e">
        <f>ROUND(I13*I15,2)</f>
        <v>#VALUE!</v>
      </c>
    </row>
    <row r="18" spans="1:10" ht="18.75" customHeight="1" thickBot="1"/>
    <row r="19" spans="1:10" ht="18.75" customHeight="1" thickBot="1">
      <c r="C19" s="240" t="s">
        <v>133</v>
      </c>
      <c r="D19" s="240"/>
      <c r="E19" s="240"/>
      <c r="F19" s="240"/>
      <c r="G19" s="240"/>
      <c r="H19" s="241"/>
      <c r="I19" s="14">
        <f>'DB（削除禁止）'!Y28</f>
        <v>43500</v>
      </c>
    </row>
    <row r="20" spans="1:10" ht="18.75" customHeight="1" thickBot="1"/>
    <row r="21" spans="1:10" ht="18.75" customHeight="1" thickBot="1">
      <c r="C21" s="240" t="s">
        <v>166</v>
      </c>
      <c r="D21" s="240"/>
      <c r="E21" s="240"/>
      <c r="F21" s="240"/>
      <c r="G21" s="240"/>
      <c r="H21" s="241"/>
      <c r="I21" s="142"/>
    </row>
    <row r="22" spans="1:10" ht="18.75" customHeight="1" thickBot="1"/>
    <row r="23" spans="1:10" ht="18.75" customHeight="1" thickBot="1">
      <c r="C23" s="240" t="s">
        <v>100</v>
      </c>
      <c r="D23" s="240"/>
      <c r="E23" s="240"/>
      <c r="F23" s="240"/>
      <c r="G23" s="240"/>
      <c r="H23" s="146" t="s">
        <v>43</v>
      </c>
      <c r="I23" s="143" t="str">
        <f>IF(I21="","",MIN(I19,I21))</f>
        <v/>
      </c>
    </row>
    <row r="24" spans="1:10" ht="18.75" customHeight="1" thickBot="1"/>
    <row r="25" spans="1:10" ht="18.75" customHeight="1" thickBot="1">
      <c r="C25" s="240" t="s">
        <v>107</v>
      </c>
      <c r="D25" s="240"/>
      <c r="E25" s="240"/>
      <c r="F25" s="240"/>
      <c r="G25" s="240"/>
      <c r="H25" s="146" t="s">
        <v>33</v>
      </c>
      <c r="I25" s="145" t="e">
        <f>ROUND(I17*I23,0)</f>
        <v>#VALUE!</v>
      </c>
    </row>
    <row r="26" spans="1:10" ht="18.75" customHeight="1">
      <c r="B26" s="229"/>
      <c r="C26" s="229"/>
      <c r="D26" s="229"/>
      <c r="E26" s="229"/>
      <c r="F26" s="229"/>
    </row>
    <row r="27" spans="1:10" ht="18.75" customHeight="1">
      <c r="B27" s="117"/>
      <c r="C27" s="117"/>
      <c r="D27" s="117"/>
      <c r="E27" s="117"/>
      <c r="F27" s="117"/>
    </row>
    <row r="28" spans="1:10" ht="18.75" customHeight="1">
      <c r="B28" s="238" t="s">
        <v>137</v>
      </c>
      <c r="C28" s="238"/>
      <c r="D28" s="238"/>
      <c r="E28" s="238"/>
      <c r="F28" s="238"/>
      <c r="G28" s="238"/>
      <c r="H28" s="238"/>
      <c r="I28" s="238"/>
      <c r="J28" s="118"/>
    </row>
    <row r="29" spans="1:10" ht="18.75" customHeight="1">
      <c r="A29" s="122" t="s">
        <v>34</v>
      </c>
      <c r="B29" s="238" t="s">
        <v>138</v>
      </c>
      <c r="C29" s="238"/>
      <c r="D29" s="238"/>
      <c r="E29" s="238"/>
      <c r="F29" s="238"/>
      <c r="G29" s="238"/>
      <c r="H29" s="238"/>
      <c r="I29" s="238"/>
      <c r="J29" s="118"/>
    </row>
    <row r="30" spans="1:10" ht="18.75" customHeight="1">
      <c r="B30" s="118"/>
      <c r="C30" s="118"/>
      <c r="D30" s="118"/>
      <c r="E30" s="118"/>
      <c r="F30" s="118"/>
      <c r="G30" s="118"/>
      <c r="H30" s="118"/>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B29:I29"/>
    <mergeCell ref="C6:I6"/>
    <mergeCell ref="C21:H21"/>
    <mergeCell ref="C23:G23"/>
    <mergeCell ref="C25:G25"/>
    <mergeCell ref="B26:F26"/>
    <mergeCell ref="B28:I28"/>
    <mergeCell ref="C9:H9"/>
    <mergeCell ref="C11:H11"/>
    <mergeCell ref="C13:H13"/>
    <mergeCell ref="C15:H15"/>
    <mergeCell ref="C17:G17"/>
    <mergeCell ref="C19:H19"/>
    <mergeCell ref="G1:I1"/>
    <mergeCell ref="B2:I2"/>
    <mergeCell ref="C4:D4"/>
    <mergeCell ref="C5:E5"/>
    <mergeCell ref="C7:F7"/>
  </mergeCells>
  <phoneticPr fontId="1"/>
  <conditionalFormatting sqref="I11">
    <cfRule type="expression" dxfId="275" priority="9">
      <formula>IF(RIGHT(TEXT($I11,"0.#"),1)=".",FALSE,TRUE)</formula>
    </cfRule>
    <cfRule type="expression" dxfId="274" priority="10">
      <formula>IF(RIGHT(TEXT($I11,"0.#"),1)=".",TRUE,FALSE)</formula>
    </cfRule>
  </conditionalFormatting>
  <conditionalFormatting sqref="I13">
    <cfRule type="expression" dxfId="273" priority="7">
      <formula>IF(RIGHT(TEXT($I13,"0.#"),1)=".",FALSE,TRUE)</formula>
    </cfRule>
    <cfRule type="expression" dxfId="272" priority="8">
      <formula>IF(RIGHT(TEXT($I13,"0.#"),1)=".",TRUE,FALSE)</formula>
    </cfRule>
  </conditionalFormatting>
  <conditionalFormatting sqref="I17">
    <cfRule type="expression" dxfId="271" priority="5">
      <formula>IF(RIGHT(TEXT($I17,"0.#"),1)=".",FALSE,TRUE)</formula>
    </cfRule>
    <cfRule type="expression" dxfId="270" priority="6">
      <formula>IF(RIGHT(TEXT($I17,"0.#"),1)=".",TRUE,FALSE)</formula>
    </cfRule>
  </conditionalFormatting>
  <conditionalFormatting sqref="I21">
    <cfRule type="expression" dxfId="269" priority="3">
      <formula>IF(RIGHT(TEXT($I21,"0.#"),1)=".",FALSE,TRUE)</formula>
    </cfRule>
    <cfRule type="expression" dxfId="268" priority="4">
      <formula>IF(RIGHT(TEXT($I21,"0.#"),1)=".",TRUE,FALSE)</formula>
    </cfRule>
  </conditionalFormatting>
  <conditionalFormatting sqref="I23">
    <cfRule type="expression" dxfId="267" priority="1">
      <formula>IF(RIGHT(TEXT($I23,"0.#"),1)=".",FALSE,TRUE)</formula>
    </cfRule>
    <cfRule type="expression" dxfId="266"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70"/>
  <sheetViews>
    <sheetView view="pageBreakPreview" zoomScale="85" zoomScaleNormal="85" zoomScaleSheetLayoutView="85" workbookViewId="0">
      <selection activeCell="C25" sqref="C25:G25"/>
    </sheetView>
  </sheetViews>
  <sheetFormatPr defaultColWidth="9" defaultRowHeight="13"/>
  <cols>
    <col min="1" max="1" width="1.26953125" style="2" customWidth="1"/>
    <col min="2" max="2" width="13.90625" style="2" bestFit="1" customWidth="1"/>
    <col min="3" max="3" width="14" style="2" customWidth="1"/>
    <col min="4" max="5" width="9" style="2" customWidth="1"/>
    <col min="6" max="6" width="9" style="29" customWidth="1"/>
    <col min="7" max="8" width="9" style="2" customWidth="1"/>
    <col min="9" max="9" width="15" style="6" customWidth="1"/>
    <col min="10" max="16384" width="9" style="2"/>
  </cols>
  <sheetData>
    <row r="1" spans="2:9" ht="18.75" customHeight="1">
      <c r="G1" s="233" t="s">
        <v>38</v>
      </c>
      <c r="H1" s="233"/>
      <c r="I1" s="233"/>
    </row>
    <row r="2" spans="2:9" ht="40.5" customHeight="1">
      <c r="B2" s="234" t="s">
        <v>327</v>
      </c>
      <c r="C2" s="234"/>
      <c r="D2" s="234"/>
      <c r="E2" s="234"/>
      <c r="F2" s="234"/>
      <c r="G2" s="234"/>
      <c r="H2" s="234"/>
      <c r="I2" s="234"/>
    </row>
    <row r="3" spans="2:9" ht="18.75" customHeight="1">
      <c r="B3" s="3"/>
      <c r="C3" s="3"/>
      <c r="D3" s="3"/>
      <c r="E3" s="3"/>
      <c r="F3" s="33"/>
      <c r="G3" s="3"/>
      <c r="H3" s="3"/>
      <c r="I3" s="4"/>
    </row>
    <row r="4" spans="2:9" ht="18.75" customHeight="1">
      <c r="B4" s="9" t="s">
        <v>32</v>
      </c>
      <c r="C4" s="237"/>
      <c r="D4" s="237"/>
      <c r="E4" s="10"/>
      <c r="F4" s="10"/>
      <c r="G4" s="10"/>
      <c r="H4" s="10"/>
      <c r="I4" s="10"/>
    </row>
    <row r="5" spans="2:9" ht="18.75" customHeight="1">
      <c r="B5" s="9" t="s">
        <v>30</v>
      </c>
      <c r="C5" s="236"/>
      <c r="D5" s="236"/>
      <c r="E5" s="236"/>
      <c r="F5" s="30"/>
      <c r="G5" s="5"/>
      <c r="H5" s="5"/>
      <c r="I5" s="5"/>
    </row>
    <row r="6" spans="2:9" ht="18.75" customHeight="1">
      <c r="B6" s="9" t="s">
        <v>29</v>
      </c>
      <c r="C6" s="235" t="s">
        <v>45</v>
      </c>
      <c r="D6" s="235"/>
      <c r="E6" s="235"/>
      <c r="F6" s="235"/>
      <c r="G6" s="235"/>
      <c r="H6" s="235"/>
      <c r="I6" s="235"/>
    </row>
    <row r="7" spans="2:9" ht="18.75" customHeight="1" thickBot="1"/>
    <row r="8" spans="2:9" ht="18.75" customHeight="1" thickBot="1">
      <c r="C8" s="228" t="s">
        <v>27</v>
      </c>
      <c r="D8" s="228"/>
      <c r="E8" s="228"/>
      <c r="F8" s="228"/>
      <c r="G8" s="228"/>
      <c r="H8" s="228"/>
      <c r="I8" s="14">
        <f>'DB（削除禁止）'!AC4</f>
        <v>150</v>
      </c>
    </row>
    <row r="9" spans="2:9" ht="18.75" customHeight="1" thickBot="1"/>
    <row r="10" spans="2:9" ht="18.75" customHeight="1" thickBot="1">
      <c r="C10" s="228" t="s">
        <v>28</v>
      </c>
      <c r="D10" s="228"/>
      <c r="E10" s="228"/>
      <c r="F10" s="228"/>
      <c r="G10" s="228"/>
      <c r="H10" s="228"/>
      <c r="I10" s="142"/>
    </row>
    <row r="11" spans="2:9" ht="18.75" customHeight="1" thickBot="1"/>
    <row r="12" spans="2:9" ht="18.75" customHeight="1" thickBot="1">
      <c r="C12" s="228" t="s">
        <v>40</v>
      </c>
      <c r="D12" s="228"/>
      <c r="E12" s="228"/>
      <c r="F12" s="228"/>
      <c r="G12" s="228"/>
      <c r="H12" s="228"/>
      <c r="I12" s="143" t="str">
        <f>IF(I10="","",MIN(I8,I10))</f>
        <v/>
      </c>
    </row>
    <row r="13" spans="2:9" ht="18.75" customHeight="1" thickBot="1">
      <c r="I13" s="2"/>
    </row>
    <row r="14" spans="2:9" ht="18.75" customHeight="1" thickBot="1">
      <c r="C14" s="228" t="s">
        <v>41</v>
      </c>
      <c r="D14" s="228"/>
      <c r="E14" s="228"/>
      <c r="F14" s="228"/>
      <c r="G14" s="228"/>
      <c r="H14" s="228"/>
      <c r="I14" s="8"/>
    </row>
    <row r="15" spans="2:9" ht="18.75" customHeight="1" thickBot="1"/>
    <row r="16" spans="2:9" ht="18.75" customHeight="1" thickBot="1">
      <c r="C16" s="240" t="s">
        <v>108</v>
      </c>
      <c r="D16" s="240"/>
      <c r="E16" s="240"/>
      <c r="F16" s="240"/>
      <c r="G16" s="240"/>
      <c r="H16" s="146" t="s">
        <v>42</v>
      </c>
      <c r="I16" s="143" t="e">
        <f>ROUND(I12*I14,2)</f>
        <v>#VALUE!</v>
      </c>
    </row>
    <row r="17" spans="1:9" ht="18.75" customHeight="1" thickBot="1"/>
    <row r="18" spans="1:9" ht="18.75" customHeight="1" thickBot="1">
      <c r="C18" s="228" t="s">
        <v>98</v>
      </c>
      <c r="D18" s="228"/>
      <c r="E18" s="228"/>
      <c r="F18" s="228"/>
      <c r="G18" s="228"/>
      <c r="H18" s="228"/>
      <c r="I18" s="14">
        <f>'DB別表3（削除禁止）'!F10</f>
        <v>250000</v>
      </c>
    </row>
    <row r="19" spans="1:9" ht="18.75" customHeight="1" thickBot="1"/>
    <row r="20" spans="1:9" ht="18.75" customHeight="1" thickBot="1">
      <c r="C20" s="228" t="s">
        <v>99</v>
      </c>
      <c r="D20" s="228"/>
      <c r="E20" s="228"/>
      <c r="F20" s="228"/>
      <c r="G20" s="228"/>
      <c r="H20" s="228"/>
      <c r="I20" s="142"/>
    </row>
    <row r="21" spans="1:9" ht="18.75" customHeight="1" thickBot="1"/>
    <row r="22" spans="1:9" ht="18.75" customHeight="1" thickBot="1">
      <c r="C22" s="228" t="s">
        <v>100</v>
      </c>
      <c r="D22" s="228"/>
      <c r="E22" s="228"/>
      <c r="F22" s="228"/>
      <c r="G22" s="228"/>
      <c r="H22" s="146" t="s">
        <v>43</v>
      </c>
      <c r="I22" s="143" t="str">
        <f>IF(OR(I18="",I20=""),"",MIN(I18,I20))</f>
        <v/>
      </c>
    </row>
    <row r="23" spans="1:9" ht="18.75" customHeight="1" thickBot="1"/>
    <row r="24" spans="1:9" ht="18.75" customHeight="1" thickBot="1">
      <c r="C24" s="240" t="s">
        <v>107</v>
      </c>
      <c r="D24" s="240"/>
      <c r="E24" s="240"/>
      <c r="F24" s="240"/>
      <c r="G24" s="240"/>
      <c r="H24" s="146" t="s">
        <v>33</v>
      </c>
      <c r="I24" s="145" t="e">
        <f>ROUND(I16*I22,0)</f>
        <v>#VALUE!</v>
      </c>
    </row>
    <row r="25" spans="1:9" ht="18.75" customHeight="1">
      <c r="B25" s="229"/>
      <c r="C25" s="229"/>
      <c r="D25" s="229"/>
      <c r="E25" s="229"/>
      <c r="F25" s="24"/>
    </row>
    <row r="26" spans="1:9" s="29" customFormat="1" ht="18.75" customHeight="1">
      <c r="B26" s="24"/>
      <c r="C26" s="24"/>
      <c r="D26" s="24"/>
      <c r="E26" s="24"/>
      <c r="F26" s="24"/>
      <c r="I26" s="6"/>
    </row>
    <row r="27" spans="1:9" ht="18.75" customHeight="1">
      <c r="B27" s="238" t="s">
        <v>137</v>
      </c>
      <c r="C27" s="238"/>
      <c r="D27" s="238"/>
      <c r="E27" s="238"/>
      <c r="F27" s="238"/>
      <c r="G27" s="238"/>
      <c r="H27" s="238"/>
      <c r="I27" s="238"/>
    </row>
    <row r="28" spans="1:9" ht="18.75" customHeight="1">
      <c r="A28" s="2" t="s">
        <v>34</v>
      </c>
      <c r="B28" s="238" t="s">
        <v>138</v>
      </c>
      <c r="C28" s="238"/>
      <c r="D28" s="238"/>
      <c r="E28" s="238"/>
      <c r="F28" s="238"/>
      <c r="G28" s="238"/>
      <c r="H28" s="238"/>
      <c r="I28" s="238"/>
    </row>
    <row r="29" spans="1:9" ht="18.75" customHeight="1">
      <c r="B29" s="3"/>
      <c r="C29" s="3"/>
      <c r="D29" s="3"/>
      <c r="E29" s="3"/>
      <c r="F29" s="33"/>
      <c r="G29" s="3"/>
      <c r="H29" s="3"/>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10:H10"/>
    <mergeCell ref="C12:H12"/>
    <mergeCell ref="B25:E25"/>
    <mergeCell ref="B27:I27"/>
    <mergeCell ref="C4:D4"/>
    <mergeCell ref="C16:G16"/>
    <mergeCell ref="C24:G24"/>
    <mergeCell ref="G1:I1"/>
    <mergeCell ref="B2:I2"/>
    <mergeCell ref="C6:I6"/>
    <mergeCell ref="C5:E5"/>
    <mergeCell ref="C8:H8"/>
    <mergeCell ref="B28:I28"/>
    <mergeCell ref="C14:H14"/>
    <mergeCell ref="C18:H18"/>
    <mergeCell ref="C20:H20"/>
    <mergeCell ref="C22:G22"/>
  </mergeCells>
  <phoneticPr fontId="1"/>
  <conditionalFormatting sqref="I10">
    <cfRule type="expression" dxfId="265" priority="9">
      <formula>IF(RIGHT(TEXT($I10,"0.#"),1)=".",FALSE,TRUE)</formula>
    </cfRule>
    <cfRule type="expression" dxfId="264" priority="10">
      <formula>IF(RIGHT(TEXT($I10,"0.#"),1)=".",TRUE,FALSE)</formula>
    </cfRule>
  </conditionalFormatting>
  <conditionalFormatting sqref="I12">
    <cfRule type="expression" dxfId="263" priority="7">
      <formula>IF(RIGHT(TEXT($I12,"0.#"),1)=".",FALSE,TRUE)</formula>
    </cfRule>
    <cfRule type="expression" dxfId="262" priority="8">
      <formula>IF(RIGHT(TEXT($I12,"0.#"),1)=".",TRUE,FALSE)</formula>
    </cfRule>
  </conditionalFormatting>
  <conditionalFormatting sqref="I16">
    <cfRule type="expression" dxfId="261" priority="5">
      <formula>IF(RIGHT(TEXT($I16,"0.#"),1)=".",FALSE,TRUE)</formula>
    </cfRule>
    <cfRule type="expression" dxfId="260" priority="6">
      <formula>IF(RIGHT(TEXT($I16,"0.#"),1)=".",TRUE,FALSE)</formula>
    </cfRule>
  </conditionalFormatting>
  <conditionalFormatting sqref="I20">
    <cfRule type="expression" dxfId="259" priority="3">
      <formula>IF(RIGHT(TEXT($I20,"0.#"),1)=".",FALSE,TRUE)</formula>
    </cfRule>
    <cfRule type="expression" dxfId="258" priority="4">
      <formula>IF(RIGHT(TEXT($I20,"0.#"),1)=".",TRUE,FALSE)</formula>
    </cfRule>
  </conditionalFormatting>
  <conditionalFormatting sqref="I22">
    <cfRule type="expression" dxfId="257" priority="1">
      <formula>IF(RIGHT(TEXT($I22,"0.#"),1)=".",FALSE,TRUE)</formula>
    </cfRule>
    <cfRule type="expression" dxfId="256" priority="2">
      <formula>IF(RIGHT(TEXT($I22,"0.#"),1)=".",TRUE,FALSE)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5</vt:i4>
      </vt:variant>
    </vt:vector>
  </HeadingPairs>
  <TitlesOfParts>
    <vt:vector size="48" baseType="lpstr">
      <vt:lpstr>作成要領・目次</vt:lpstr>
      <vt:lpstr>（1）</vt:lpstr>
      <vt:lpstr>（2）</vt:lpstr>
      <vt:lpstr>（3）</vt:lpstr>
      <vt:lpstr>（4）</vt:lpstr>
      <vt:lpstr>（5）-1</vt:lpstr>
      <vt:lpstr>（5）-2</vt:lpstr>
      <vt:lpstr>（5）-3</vt:lpstr>
      <vt:lpstr>（6）</vt:lpstr>
      <vt:lpstr>（7）</vt:lpstr>
      <vt:lpstr>（8）</vt:lpstr>
      <vt:lpstr>（9）</vt:lpstr>
      <vt:lpstr>（10）</vt:lpstr>
      <vt:lpstr>（11）</vt:lpstr>
      <vt:lpstr>（12）－1</vt:lpstr>
      <vt:lpstr>（12）-2</vt:lpstr>
      <vt:lpstr>（13）-1</vt:lpstr>
      <vt:lpstr>（13）-2</vt:lpstr>
      <vt:lpstr>（13）-3</vt:lpstr>
      <vt:lpstr>（13）-4</vt:lpstr>
      <vt:lpstr>（13) -5</vt:lpstr>
      <vt:lpstr>（14・15）-1  </vt:lpstr>
      <vt:lpstr>（14・15）-2</vt:lpstr>
      <vt:lpstr>（16）-1  </vt:lpstr>
      <vt:lpstr>（16）-2  </vt:lpstr>
      <vt:lpstr>（17）</vt:lpstr>
      <vt:lpstr>（18）</vt:lpstr>
      <vt:lpstr>（19）</vt:lpstr>
      <vt:lpstr>（20）</vt:lpstr>
      <vt:lpstr>（22）</vt:lpstr>
      <vt:lpstr>（23）</vt:lpstr>
      <vt:lpstr>（24）</vt:lpstr>
      <vt:lpstr>（25）</vt:lpstr>
      <vt:lpstr>（26）</vt:lpstr>
      <vt:lpstr>（27）</vt:lpstr>
      <vt:lpstr>（28）</vt:lpstr>
      <vt:lpstr>（29）</vt:lpstr>
      <vt:lpstr>(30) </vt:lpstr>
      <vt:lpstr>（31)</vt:lpstr>
      <vt:lpstr>DB（削除禁止）</vt:lpstr>
      <vt:lpstr>DB別表3（削除禁止）</vt:lpstr>
      <vt:lpstr>Sheet1</vt:lpstr>
      <vt:lpstr>Sheet2</vt:lpstr>
      <vt:lpstr>'（1）'!Print_Area</vt:lpstr>
      <vt:lpstr>'（9）'!Print_Area</vt:lpstr>
      <vt:lpstr>'DB（削除禁止）'!Print_Area</vt:lpstr>
      <vt:lpstr>'DB別表3（削除禁止）'!Print_Area</vt:lpstr>
      <vt:lpstr>作成要領・目次!Print_Area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丸茂 祐子(marumo-yuuko)</dc:creator>
  <cp:lastModifiedBy>広島県</cp:lastModifiedBy>
  <cp:lastPrinted>2021-06-09T06:32:52Z</cp:lastPrinted>
  <dcterms:created xsi:type="dcterms:W3CDTF">2006-09-16T00:00:00Z</dcterms:created>
  <dcterms:modified xsi:type="dcterms:W3CDTF">2022-03-31T04:23:36Z</dcterms:modified>
</cp:coreProperties>
</file>