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e1188\Desktop\"/>
    </mc:Choice>
  </mc:AlternateContent>
  <xr:revisionPtr revIDLastSave="0" documentId="13_ncr:1_{8FE6CAFD-9C62-4C7B-95A2-2CA4B4FA53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難病（薬局）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01" i="3" l="1"/>
  <c r="B599" i="3"/>
  <c r="B600" i="3"/>
  <c r="B882" i="3"/>
  <c r="B883" i="3"/>
  <c r="B424" i="3"/>
  <c r="B423" i="3"/>
  <c r="B414" i="3"/>
  <c r="B415" i="3"/>
  <c r="B412" i="3"/>
  <c r="B422" i="3"/>
  <c r="B413" i="3"/>
  <c r="B426" i="3"/>
  <c r="B437" i="3"/>
  <c r="B444" i="3"/>
  <c r="B433" i="3"/>
  <c r="B443" i="3"/>
  <c r="B429" i="3"/>
  <c r="B436" i="3"/>
  <c r="B431" i="3"/>
  <c r="B430" i="3"/>
  <c r="B404" i="3"/>
  <c r="B880" i="3"/>
  <c r="B876" i="3"/>
  <c r="B879" i="3"/>
  <c r="B877" i="3"/>
  <c r="B878" i="3"/>
  <c r="B881" i="3"/>
  <c r="B244" i="3"/>
  <c r="B248" i="3"/>
  <c r="B163" i="3"/>
  <c r="B236" i="3"/>
  <c r="B246" i="3"/>
  <c r="B13" i="3"/>
  <c r="B93" i="3"/>
  <c r="B11" i="3"/>
  <c r="B874" i="3"/>
  <c r="B875" i="3"/>
  <c r="B873" i="3"/>
  <c r="B122" i="3"/>
  <c r="B199" i="3"/>
  <c r="B633" i="3"/>
  <c r="B192" i="3"/>
  <c r="B632" i="3"/>
  <c r="B648" i="3"/>
  <c r="B784" i="3"/>
  <c r="B783" i="3"/>
  <c r="B782" i="3"/>
  <c r="B791" i="3"/>
  <c r="B790" i="3"/>
  <c r="B785" i="3"/>
  <c r="B792" i="3"/>
  <c r="B789" i="3"/>
  <c r="B787" i="3"/>
  <c r="B781" i="3"/>
  <c r="B780" i="3"/>
  <c r="B788" i="3"/>
  <c r="B786" i="3"/>
  <c r="B779" i="3"/>
  <c r="B863" i="3"/>
  <c r="B862" i="3"/>
  <c r="B864" i="3"/>
  <c r="B866" i="3"/>
  <c r="B867" i="3"/>
  <c r="B865" i="3"/>
  <c r="B869" i="3"/>
  <c r="B868" i="3"/>
  <c r="B870" i="3"/>
  <c r="B800" i="3"/>
  <c r="B797" i="3"/>
  <c r="B734" i="3"/>
  <c r="B802" i="3"/>
  <c r="B758" i="3"/>
  <c r="B728" i="3"/>
  <c r="B799" i="3"/>
  <c r="B726" i="3"/>
  <c r="B774" i="3"/>
  <c r="B798" i="3"/>
  <c r="B796" i="3"/>
  <c r="B770" i="3"/>
  <c r="B735" i="3"/>
  <c r="B825" i="3"/>
  <c r="B850" i="3"/>
  <c r="B824" i="3"/>
  <c r="B808" i="3"/>
  <c r="B847" i="3"/>
  <c r="B846" i="3"/>
  <c r="B840" i="3"/>
  <c r="B834" i="3"/>
  <c r="B841" i="3"/>
  <c r="B822" i="3"/>
  <c r="B838" i="3"/>
  <c r="B836" i="3"/>
  <c r="B845" i="3"/>
  <c r="B816" i="3"/>
  <c r="B807" i="3"/>
  <c r="B829" i="3"/>
  <c r="B818" i="3"/>
  <c r="B806" i="3"/>
  <c r="B819" i="3"/>
  <c r="B849" i="3"/>
  <c r="B814" i="3"/>
  <c r="B815" i="3"/>
  <c r="B843" i="3"/>
  <c r="B830" i="3"/>
  <c r="B833" i="3"/>
  <c r="B812" i="3"/>
  <c r="B828" i="3"/>
  <c r="B811" i="3"/>
  <c r="B817" i="3"/>
  <c r="B844" i="3"/>
  <c r="B827" i="3"/>
  <c r="B820" i="3"/>
  <c r="B821" i="3"/>
  <c r="B842" i="3"/>
  <c r="B826" i="3"/>
  <c r="B805" i="3"/>
  <c r="B848" i="3"/>
  <c r="B813" i="3"/>
  <c r="B831" i="3"/>
  <c r="B809" i="3"/>
  <c r="B835" i="3"/>
  <c r="B810" i="3"/>
  <c r="B804" i="3"/>
  <c r="B803" i="3"/>
  <c r="B839" i="3"/>
  <c r="B823" i="3"/>
  <c r="B837" i="3"/>
  <c r="B832" i="3"/>
  <c r="B854" i="3"/>
  <c r="B860" i="3"/>
  <c r="B861" i="3"/>
  <c r="B858" i="3"/>
  <c r="B859" i="3"/>
  <c r="B856" i="3"/>
  <c r="B852" i="3"/>
  <c r="B857" i="3"/>
  <c r="B22" i="3"/>
  <c r="B17" i="3"/>
  <c r="B18" i="3"/>
  <c r="B853" i="3"/>
  <c r="B95" i="3"/>
  <c r="B851" i="3"/>
  <c r="B14" i="3"/>
  <c r="B855" i="3"/>
  <c r="B793" i="3"/>
  <c r="B801" i="3"/>
  <c r="B795" i="3"/>
  <c r="B794" i="3"/>
  <c r="B755" i="3"/>
  <c r="B776" i="3"/>
  <c r="B759" i="3"/>
  <c r="B763" i="3"/>
  <c r="B765" i="3"/>
  <c r="B747" i="3"/>
  <c r="B727" i="3"/>
  <c r="B729" i="3"/>
  <c r="B753" i="3"/>
  <c r="B749" i="3"/>
  <c r="B733" i="3"/>
  <c r="B761" i="3"/>
  <c r="B736" i="3"/>
  <c r="B768" i="3"/>
  <c r="B748" i="3"/>
  <c r="B739" i="3"/>
  <c r="B754" i="3"/>
  <c r="B762" i="3"/>
  <c r="B750" i="3"/>
  <c r="B773" i="3"/>
  <c r="B724" i="3"/>
  <c r="B757" i="3"/>
  <c r="B730" i="3"/>
  <c r="B764" i="3"/>
  <c r="B775" i="3"/>
  <c r="B760" i="3"/>
  <c r="B771" i="3"/>
  <c r="B722" i="3"/>
  <c r="B741" i="3"/>
  <c r="B777" i="3"/>
  <c r="B743" i="3"/>
  <c r="B751" i="3"/>
  <c r="B767" i="3"/>
  <c r="B723" i="3"/>
  <c r="B731" i="3"/>
  <c r="B738" i="3"/>
  <c r="B772" i="3"/>
  <c r="B752" i="3"/>
  <c r="B740" i="3"/>
  <c r="B737" i="3"/>
  <c r="B732" i="3"/>
  <c r="B766" i="3"/>
  <c r="B744" i="3"/>
  <c r="B746" i="3"/>
  <c r="B725" i="3"/>
  <c r="B756" i="3"/>
  <c r="B745" i="3"/>
  <c r="B706" i="3"/>
  <c r="B663" i="3"/>
  <c r="B676" i="3"/>
  <c r="B701" i="3"/>
  <c r="B717" i="3"/>
  <c r="B714" i="3"/>
  <c r="B647" i="3"/>
  <c r="B657" i="3"/>
  <c r="B681" i="3"/>
  <c r="B693" i="3"/>
  <c r="B704" i="3"/>
  <c r="B649" i="3"/>
  <c r="B639" i="3"/>
  <c r="B678" i="3"/>
  <c r="B653" i="3"/>
  <c r="B670" i="3"/>
  <c r="B720" i="3"/>
  <c r="B664" i="3"/>
  <c r="B659" i="3"/>
  <c r="B652" i="3"/>
  <c r="B683" i="3"/>
  <c r="B646" i="3"/>
  <c r="B685" i="3"/>
  <c r="B650" i="3"/>
  <c r="B629" i="3"/>
  <c r="B684" i="3"/>
  <c r="B695" i="3"/>
  <c r="B671" i="3"/>
  <c r="B692" i="3"/>
  <c r="B689" i="3"/>
  <c r="B658" i="3"/>
  <c r="B715" i="3"/>
  <c r="B688" i="3"/>
  <c r="B682" i="3"/>
  <c r="B680" i="3"/>
  <c r="B711" i="3"/>
  <c r="B719" i="3"/>
  <c r="B702" i="3"/>
  <c r="B679" i="3"/>
  <c r="B634" i="3"/>
  <c r="B666" i="3"/>
  <c r="B690" i="3"/>
  <c r="B660" i="3"/>
  <c r="B710" i="3"/>
  <c r="B645" i="3"/>
  <c r="B698" i="3"/>
  <c r="B635" i="3"/>
  <c r="B675" i="3"/>
  <c r="B713" i="3"/>
  <c r="B661" i="3"/>
  <c r="B631" i="3"/>
  <c r="B668" i="3"/>
  <c r="B708" i="3"/>
  <c r="B651" i="3"/>
  <c r="B694" i="3"/>
  <c r="B655" i="3"/>
  <c r="B654" i="3"/>
  <c r="B638" i="3"/>
  <c r="B716" i="3"/>
  <c r="B712" i="3"/>
  <c r="B697" i="3"/>
  <c r="B674" i="3"/>
  <c r="B705" i="3"/>
  <c r="B644" i="3"/>
  <c r="B718" i="3"/>
  <c r="B677" i="3"/>
  <c r="B686" i="3"/>
  <c r="B703" i="3"/>
  <c r="B687" i="3"/>
  <c r="B665" i="3"/>
  <c r="B643" i="3"/>
  <c r="B673" i="3"/>
  <c r="B656" i="3"/>
  <c r="B667" i="3"/>
  <c r="B669" i="3"/>
  <c r="B637" i="3"/>
  <c r="B709" i="3"/>
  <c r="B672" i="3"/>
  <c r="B640" i="3"/>
  <c r="B642" i="3"/>
  <c r="B707" i="3"/>
  <c r="B662" i="3"/>
  <c r="B700" i="3"/>
  <c r="B699" i="3"/>
  <c r="B641" i="3"/>
  <c r="B617" i="3"/>
  <c r="B614" i="3"/>
  <c r="B609" i="3"/>
  <c r="B618" i="3"/>
  <c r="B619" i="3"/>
  <c r="B623" i="3"/>
  <c r="B625" i="3"/>
  <c r="B613" i="3"/>
  <c r="B615" i="3"/>
  <c r="B622" i="3"/>
  <c r="B624" i="3"/>
  <c r="B626" i="3"/>
  <c r="B610" i="3"/>
  <c r="B620" i="3"/>
  <c r="B612" i="3"/>
  <c r="B608" i="3"/>
  <c r="B611" i="3"/>
  <c r="B627" i="3"/>
  <c r="B621" i="3"/>
  <c r="B628" i="3"/>
  <c r="B616" i="3"/>
  <c r="B605" i="3"/>
  <c r="B594" i="3"/>
  <c r="B602" i="3"/>
  <c r="B592" i="3"/>
  <c r="B597" i="3"/>
  <c r="B590" i="3"/>
  <c r="B607" i="3"/>
  <c r="B604" i="3"/>
  <c r="B596" i="3"/>
  <c r="B595" i="3"/>
  <c r="B593" i="3"/>
  <c r="B598" i="3"/>
  <c r="B606" i="3"/>
  <c r="B589" i="3"/>
  <c r="B568" i="3"/>
  <c r="B577" i="3"/>
  <c r="B569" i="3"/>
  <c r="B587" i="3"/>
  <c r="B584" i="3"/>
  <c r="B585" i="3"/>
  <c r="B576" i="3"/>
  <c r="B573" i="3"/>
  <c r="B560" i="3"/>
  <c r="B561" i="3"/>
  <c r="B586" i="3"/>
  <c r="B588" i="3"/>
  <c r="B562" i="3"/>
  <c r="B572" i="3"/>
  <c r="B581" i="3"/>
  <c r="B578" i="3"/>
  <c r="B566" i="3"/>
  <c r="B567" i="3"/>
  <c r="B563" i="3"/>
  <c r="B571" i="3"/>
  <c r="B570" i="3"/>
  <c r="B575" i="3"/>
  <c r="B583" i="3"/>
  <c r="B574" i="3"/>
  <c r="B582" i="3"/>
  <c r="B579" i="3"/>
  <c r="B564" i="3"/>
  <c r="B580" i="3"/>
  <c r="B542" i="3"/>
  <c r="B541" i="3"/>
  <c r="B556" i="3"/>
  <c r="B554" i="3"/>
  <c r="B536" i="3"/>
  <c r="B535" i="3"/>
  <c r="B553" i="3"/>
  <c r="B534" i="3"/>
  <c r="B537" i="3"/>
  <c r="B549" i="3"/>
  <c r="B548" i="3"/>
  <c r="B547" i="3"/>
  <c r="B543" i="3"/>
  <c r="B546" i="3"/>
  <c r="B539" i="3"/>
  <c r="B552" i="3"/>
  <c r="B557" i="3"/>
  <c r="B551" i="3"/>
  <c r="B540" i="3"/>
  <c r="B550" i="3"/>
  <c r="B407" i="3"/>
  <c r="B330" i="3"/>
  <c r="B524" i="3"/>
  <c r="B392" i="3"/>
  <c r="B490" i="3"/>
  <c r="B332" i="3"/>
  <c r="B345" i="3"/>
  <c r="B527" i="3"/>
  <c r="B300" i="3"/>
  <c r="B377" i="3"/>
  <c r="B396" i="3"/>
  <c r="B455" i="3"/>
  <c r="B324" i="3"/>
  <c r="B409" i="3"/>
  <c r="B384" i="3"/>
  <c r="B333" i="3"/>
  <c r="B500" i="3"/>
  <c r="B513" i="3"/>
  <c r="B519" i="3"/>
  <c r="B442" i="3"/>
  <c r="B309" i="3"/>
  <c r="B493" i="3"/>
  <c r="B317" i="3"/>
  <c r="B515" i="3"/>
  <c r="B466" i="3"/>
  <c r="B475" i="3"/>
  <c r="B440" i="3"/>
  <c r="B421" i="3"/>
  <c r="B495" i="3"/>
  <c r="B395" i="3"/>
  <c r="B367" i="3"/>
  <c r="B512" i="3"/>
  <c r="B492" i="3"/>
  <c r="B531" i="3"/>
  <c r="B507" i="3"/>
  <c r="B497" i="3"/>
  <c r="B307" i="3"/>
  <c r="B486" i="3"/>
  <c r="B506" i="3"/>
  <c r="B337" i="3"/>
  <c r="B476" i="3"/>
  <c r="B520" i="3"/>
  <c r="B353" i="3"/>
  <c r="B397" i="3"/>
  <c r="B308" i="3"/>
  <c r="B315" i="3"/>
  <c r="B372" i="3"/>
  <c r="B441" i="3"/>
  <c r="B355" i="3"/>
  <c r="B400" i="3"/>
  <c r="B326" i="3"/>
  <c r="B489" i="3"/>
  <c r="B472" i="3"/>
  <c r="B502" i="3"/>
  <c r="B452" i="3"/>
  <c r="B427" i="3"/>
  <c r="B467" i="3"/>
  <c r="B425" i="3"/>
  <c r="B321" i="3"/>
  <c r="B498" i="3"/>
  <c r="B328" i="3"/>
  <c r="B523" i="3"/>
  <c r="B335" i="3"/>
  <c r="B383" i="3"/>
  <c r="B354" i="3"/>
  <c r="B314" i="3"/>
  <c r="B348" i="3"/>
  <c r="B393" i="3"/>
  <c r="B373" i="3"/>
  <c r="B528" i="3"/>
  <c r="B471" i="3"/>
  <c r="B338" i="3"/>
  <c r="B491" i="3"/>
  <c r="B514" i="3"/>
  <c r="B432" i="3"/>
  <c r="B346" i="3"/>
  <c r="B470" i="3"/>
  <c r="B305" i="3"/>
  <c r="B316" i="3"/>
  <c r="B336" i="3"/>
  <c r="B331" i="3"/>
  <c r="B369" i="3"/>
  <c r="B398" i="3"/>
  <c r="B477" i="3"/>
  <c r="B311" i="3"/>
  <c r="B319" i="3"/>
  <c r="B302" i="3"/>
  <c r="B310" i="3"/>
  <c r="B474" i="3"/>
  <c r="B347" i="3"/>
  <c r="B362" i="3"/>
  <c r="B339" i="3"/>
  <c r="B445" i="3"/>
  <c r="B473" i="3"/>
  <c r="B352" i="3"/>
  <c r="B371" i="3"/>
  <c r="B469" i="3"/>
  <c r="B510" i="3"/>
  <c r="B401" i="3"/>
  <c r="B532" i="3"/>
  <c r="B525" i="3"/>
  <c r="B301" i="3"/>
  <c r="B402" i="3"/>
  <c r="B465" i="3"/>
  <c r="B416" i="3"/>
  <c r="B418" i="3"/>
  <c r="B411" i="3"/>
  <c r="B483" i="3"/>
  <c r="B387" i="3"/>
  <c r="B323" i="3"/>
  <c r="B521" i="3"/>
  <c r="B460" i="3"/>
  <c r="B447" i="3"/>
  <c r="B388" i="3"/>
  <c r="B399" i="3"/>
  <c r="B306" i="3"/>
  <c r="B504" i="3"/>
  <c r="B446" i="3"/>
  <c r="B318" i="3"/>
  <c r="B485" i="3"/>
  <c r="B487" i="3"/>
  <c r="B334" i="3"/>
  <c r="B363" i="3"/>
  <c r="B304" i="3"/>
  <c r="B344" i="3"/>
  <c r="B303" i="3"/>
  <c r="B482" i="3"/>
  <c r="B322" i="3"/>
  <c r="B435" i="3"/>
  <c r="B394" i="3"/>
  <c r="B376" i="3"/>
  <c r="B451" i="3"/>
  <c r="B461" i="3"/>
  <c r="B518" i="3"/>
  <c r="B503" i="3"/>
  <c r="B380" i="3"/>
  <c r="B379" i="3"/>
  <c r="B450" i="3"/>
  <c r="B327" i="3"/>
  <c r="B462" i="3"/>
  <c r="B481" i="3"/>
  <c r="B501" i="3"/>
  <c r="B350" i="3"/>
  <c r="B320" i="3"/>
  <c r="B375" i="3"/>
  <c r="B509" i="3"/>
  <c r="B341" i="3"/>
  <c r="B313" i="3"/>
  <c r="B385" i="3"/>
  <c r="B325" i="3"/>
  <c r="B366" i="3"/>
  <c r="B391" i="3"/>
  <c r="B522" i="3"/>
  <c r="B357" i="3"/>
  <c r="B408" i="3"/>
  <c r="B342" i="3"/>
  <c r="B378" i="3"/>
  <c r="B505" i="3"/>
  <c r="B516" i="3"/>
  <c r="B529" i="3"/>
  <c r="B488" i="3"/>
  <c r="B410" i="3"/>
  <c r="B386" i="3"/>
  <c r="B464" i="3"/>
  <c r="B361" i="3"/>
  <c r="B406" i="3"/>
  <c r="B458" i="3"/>
  <c r="B499" i="3"/>
  <c r="B456" i="3"/>
  <c r="B365" i="3"/>
  <c r="B530" i="3"/>
  <c r="B351" i="3"/>
  <c r="B526" i="3"/>
  <c r="B349" i="3"/>
  <c r="B457" i="3"/>
  <c r="B468" i="3"/>
  <c r="B454" i="3"/>
  <c r="B370" i="3"/>
  <c r="B496" i="3"/>
  <c r="B356" i="3"/>
  <c r="B368" i="3"/>
  <c r="B480" i="3"/>
  <c r="B374" i="3"/>
  <c r="B364" i="3"/>
  <c r="B381" i="3"/>
  <c r="B494" i="3"/>
  <c r="B358" i="3"/>
  <c r="B478" i="3"/>
  <c r="B508" i="3"/>
  <c r="B533" i="3"/>
  <c r="B463" i="3"/>
  <c r="B453" i="3"/>
  <c r="B479" i="3"/>
  <c r="B359" i="3"/>
  <c r="B459" i="3"/>
  <c r="B360" i="3"/>
  <c r="B382" i="3"/>
  <c r="B390" i="3"/>
  <c r="B389" i="3"/>
  <c r="B329" i="3"/>
  <c r="B340" i="3"/>
  <c r="B511" i="3"/>
  <c r="B208" i="3"/>
  <c r="B218" i="3"/>
  <c r="B216" i="3"/>
  <c r="B207" i="3"/>
  <c r="B213" i="3"/>
  <c r="B206" i="3"/>
  <c r="B214" i="3"/>
  <c r="B210" i="3"/>
  <c r="B212" i="3"/>
  <c r="B276" i="3"/>
  <c r="B242" i="3"/>
  <c r="B264" i="3"/>
  <c r="B271" i="3"/>
  <c r="B217" i="3"/>
  <c r="B205" i="3"/>
  <c r="B233" i="3"/>
  <c r="B284" i="3"/>
  <c r="B285" i="3"/>
  <c r="B235" i="3"/>
  <c r="B239" i="3"/>
  <c r="B270" i="3"/>
  <c r="B219" i="3"/>
  <c r="B220" i="3"/>
  <c r="B267" i="3"/>
  <c r="B292" i="3"/>
  <c r="B299" i="3"/>
  <c r="B245" i="3"/>
  <c r="B209" i="3"/>
  <c r="B211" i="3"/>
  <c r="B224" i="3"/>
  <c r="B243" i="3"/>
  <c r="B278" i="3"/>
  <c r="B259" i="3"/>
  <c r="B221" i="3"/>
  <c r="B204" i="3"/>
  <c r="B228" i="3"/>
  <c r="B283" i="3"/>
  <c r="B280" i="3"/>
  <c r="B286" i="3"/>
  <c r="B258" i="3"/>
  <c r="B268" i="3"/>
  <c r="B298" i="3"/>
  <c r="B253" i="3"/>
  <c r="B266" i="3"/>
  <c r="B294" i="3"/>
  <c r="B295" i="3"/>
  <c r="B296" i="3"/>
  <c r="B297" i="3"/>
  <c r="B241" i="3"/>
  <c r="B269" i="3"/>
  <c r="B279" i="3"/>
  <c r="B282" i="3"/>
  <c r="B273" i="3"/>
  <c r="B247" i="3"/>
  <c r="B275" i="3"/>
  <c r="B272" i="3"/>
  <c r="B277" i="3"/>
  <c r="B227" i="3"/>
  <c r="B254" i="3"/>
  <c r="B226" i="3"/>
  <c r="B252" i="3"/>
  <c r="B256" i="3"/>
  <c r="B290" i="3"/>
  <c r="B255" i="3"/>
  <c r="B274" i="3"/>
  <c r="B230" i="3"/>
  <c r="B232" i="3"/>
  <c r="B291" i="3"/>
  <c r="B222" i="3"/>
  <c r="B234" i="3"/>
  <c r="B231" i="3"/>
  <c r="B225" i="3"/>
  <c r="B250" i="3"/>
  <c r="B257" i="3"/>
  <c r="B229" i="3"/>
  <c r="B262" i="3"/>
  <c r="B251" i="3"/>
  <c r="B249" i="3"/>
  <c r="B293" i="3"/>
  <c r="B288" i="3"/>
  <c r="B265" i="3"/>
  <c r="B263" i="3"/>
  <c r="B287" i="3"/>
  <c r="B223" i="3"/>
  <c r="B289" i="3"/>
  <c r="B281" i="3"/>
  <c r="B166" i="3"/>
  <c r="B176" i="3"/>
  <c r="B168" i="3"/>
  <c r="B178" i="3"/>
  <c r="B203" i="3"/>
  <c r="B156" i="3"/>
  <c r="B161" i="3"/>
  <c r="B202" i="3"/>
  <c r="B158" i="3"/>
  <c r="B159" i="3"/>
  <c r="B160" i="3"/>
  <c r="B191" i="3"/>
  <c r="B190" i="3"/>
  <c r="B167" i="3"/>
  <c r="B173" i="3"/>
  <c r="B193" i="3"/>
  <c r="B182" i="3"/>
  <c r="B198" i="3"/>
  <c r="B164" i="3"/>
  <c r="B196" i="3"/>
  <c r="B201" i="3"/>
  <c r="B165" i="3"/>
  <c r="B200" i="3"/>
  <c r="B184" i="3"/>
  <c r="B188" i="3"/>
  <c r="B186" i="3"/>
  <c r="B162" i="3"/>
  <c r="B187" i="3"/>
  <c r="B179" i="3"/>
  <c r="B183" i="3"/>
  <c r="B171" i="3"/>
  <c r="B197" i="3"/>
  <c r="B180" i="3"/>
  <c r="B185" i="3"/>
  <c r="B170" i="3"/>
  <c r="B169" i="3"/>
  <c r="B157" i="3"/>
  <c r="B181" i="3"/>
  <c r="B174" i="3"/>
  <c r="B172" i="3"/>
  <c r="B194" i="3"/>
  <c r="B189" i="3"/>
  <c r="B195" i="3"/>
  <c r="B177" i="3"/>
  <c r="B175" i="3"/>
  <c r="B149" i="3"/>
  <c r="B153" i="3"/>
  <c r="B142" i="3"/>
  <c r="B144" i="3"/>
  <c r="B152" i="3"/>
  <c r="B139" i="3"/>
  <c r="B145" i="3"/>
  <c r="B151" i="3"/>
  <c r="B154" i="3"/>
  <c r="B150" i="3"/>
  <c r="B148" i="3"/>
  <c r="B147" i="3"/>
  <c r="B137" i="3"/>
  <c r="B138" i="3"/>
  <c r="B146" i="3"/>
  <c r="B155" i="3"/>
  <c r="B143" i="3"/>
  <c r="B65" i="3"/>
  <c r="B71" i="3"/>
  <c r="B29" i="3"/>
  <c r="B91" i="3"/>
  <c r="B88" i="3"/>
  <c r="B16" i="3"/>
  <c r="B85" i="3"/>
  <c r="B15" i="3"/>
  <c r="B58" i="3"/>
  <c r="B99" i="3"/>
  <c r="B129" i="3"/>
  <c r="B98" i="3"/>
  <c r="B73" i="3"/>
  <c r="B119" i="3"/>
  <c r="B80" i="3"/>
  <c r="B43" i="3"/>
  <c r="B59" i="3"/>
  <c r="B39" i="3"/>
  <c r="B96" i="3"/>
  <c r="B60" i="3"/>
  <c r="B131" i="3"/>
  <c r="B50" i="3"/>
  <c r="B87" i="3"/>
  <c r="B12" i="3"/>
  <c r="B127" i="3"/>
  <c r="B8" i="3"/>
  <c r="B108" i="3"/>
  <c r="B33" i="3"/>
  <c r="B120" i="3"/>
  <c r="B135" i="3"/>
  <c r="B34" i="3"/>
  <c r="B121" i="3"/>
  <c r="B47" i="3"/>
  <c r="B42" i="3"/>
  <c r="B84" i="3"/>
  <c r="B19" i="3"/>
  <c r="B48" i="3"/>
  <c r="B133" i="3"/>
  <c r="B86" i="3"/>
  <c r="B7" i="3"/>
  <c r="B134" i="3"/>
  <c r="B104" i="3"/>
  <c r="B49" i="3"/>
  <c r="B124" i="3"/>
  <c r="B114" i="3"/>
  <c r="B54" i="3"/>
  <c r="B132" i="3"/>
  <c r="B38" i="3"/>
  <c r="B76" i="3"/>
  <c r="B53" i="3"/>
  <c r="B44" i="3"/>
  <c r="B82" i="3"/>
  <c r="B77" i="3"/>
  <c r="B79" i="3"/>
  <c r="B26" i="3"/>
  <c r="B61" i="3"/>
  <c r="B56" i="3"/>
  <c r="B41" i="3"/>
  <c r="B116" i="3"/>
  <c r="B97" i="3"/>
  <c r="B5" i="3"/>
  <c r="B102" i="3"/>
  <c r="B35" i="3"/>
  <c r="B107" i="3"/>
  <c r="B45" i="3"/>
  <c r="B130" i="3"/>
  <c r="B112" i="3"/>
  <c r="B46" i="3"/>
  <c r="B74" i="3"/>
  <c r="B111" i="3"/>
  <c r="B20" i="3"/>
  <c r="B37" i="3"/>
  <c r="B21" i="3"/>
  <c r="B66" i="3"/>
  <c r="B113" i="3"/>
  <c r="B30" i="3"/>
  <c r="B101" i="3"/>
  <c r="B92" i="3"/>
  <c r="B94" i="3"/>
  <c r="B32" i="3"/>
  <c r="B83" i="3"/>
  <c r="B136" i="3"/>
  <c r="B109" i="3"/>
  <c r="B78" i="3"/>
  <c r="B110" i="3"/>
  <c r="B117" i="3"/>
  <c r="B125" i="3"/>
  <c r="B67" i="3"/>
  <c r="B4" i="3"/>
  <c r="B69" i="3"/>
  <c r="B75" i="3"/>
  <c r="B25" i="3"/>
  <c r="B63" i="3"/>
  <c r="B24" i="3"/>
  <c r="B27" i="3"/>
  <c r="B51" i="3"/>
  <c r="B68" i="3"/>
  <c r="B40" i="3"/>
  <c r="B106" i="3"/>
  <c r="B126" i="3"/>
  <c r="B100" i="3"/>
  <c r="B6" i="3"/>
  <c r="B118" i="3"/>
  <c r="B72" i="3"/>
  <c r="B36" i="3"/>
  <c r="B62" i="3"/>
  <c r="B57" i="3"/>
  <c r="B128" i="3"/>
  <c r="B28" i="3"/>
  <c r="B9" i="3"/>
  <c r="B10" i="3"/>
  <c r="B115" i="3"/>
  <c r="B55" i="3"/>
  <c r="B70" i="3"/>
  <c r="B52" i="3"/>
  <c r="B89" i="3"/>
  <c r="B90" i="3"/>
  <c r="B64" i="3"/>
  <c r="B105" i="3"/>
  <c r="B31" i="3"/>
  <c r="B103" i="3"/>
</calcChain>
</file>

<file path=xl/sharedStrings.xml><?xml version="1.0" encoding="utf-8"?>
<sst xmlns="http://schemas.openxmlformats.org/spreadsheetml/2006/main" count="930" uniqueCount="887">
  <si>
    <t>門田薬局</t>
  </si>
  <si>
    <t>ほのか薬局南蔵王店</t>
  </si>
  <si>
    <t>住所</t>
  </si>
  <si>
    <t>名称</t>
  </si>
  <si>
    <t>エル調剤薬局</t>
  </si>
  <si>
    <t>有限会社イイジマさくら薬局</t>
  </si>
  <si>
    <t>竹乗薬局</t>
  </si>
  <si>
    <t>リーフ薬局</t>
  </si>
  <si>
    <t>さわだ薬局</t>
  </si>
  <si>
    <t>有木薬局新涯店</t>
  </si>
  <si>
    <t>松永エル薬局</t>
  </si>
  <si>
    <t>福山市神辺町川北1533</t>
  </si>
  <si>
    <t>エスマイル薬局駅家店</t>
  </si>
  <si>
    <t>ひので薬局本館</t>
  </si>
  <si>
    <t>阪神調剤薬局東広島店</t>
  </si>
  <si>
    <t>福山市沼隈町大字常石1281</t>
  </si>
  <si>
    <t>幸城薬局南隠渡店</t>
  </si>
  <si>
    <t>セリア薬局</t>
  </si>
  <si>
    <t>あおぞら薬局曙店</t>
  </si>
  <si>
    <t>コスモス薬局府中本町店</t>
  </si>
  <si>
    <t>庄原市東城町東城272</t>
  </si>
  <si>
    <t>ファーマシィ薬局吉田中央</t>
  </si>
  <si>
    <t>そうごう薬局御門店</t>
  </si>
  <si>
    <t>ウエルシア薬局福山南蔵王店</t>
  </si>
  <si>
    <t>なかの薬局</t>
  </si>
  <si>
    <t>株式会社駅前薬局</t>
  </si>
  <si>
    <t>サン・メディカル薬局（大黒店）</t>
  </si>
  <si>
    <t>三北調剤薬局</t>
  </si>
  <si>
    <t>一般社団法人福山市薬剤師会　野上薬局</t>
  </si>
  <si>
    <t>エスマイル薬局太陽店</t>
  </si>
  <si>
    <t>アリチ薬局　新徳田店</t>
  </si>
  <si>
    <t>ウォンツ薬局メディカルモール向洋駅北店</t>
  </si>
  <si>
    <t>福山市神辺町川南1120</t>
  </si>
  <si>
    <t>西本町薬局</t>
  </si>
  <si>
    <t>東城川西薬局</t>
  </si>
  <si>
    <t>ウォンツ三次東薬局</t>
  </si>
  <si>
    <t>コスモス薬局尾道店</t>
  </si>
  <si>
    <t>なな薬局</t>
  </si>
  <si>
    <t>エスマイル薬局蔵王店</t>
  </si>
  <si>
    <t>ププレひまわり薬局尾道西店</t>
  </si>
  <si>
    <t>ウォンツJA広島総合病院前薬局</t>
  </si>
  <si>
    <t>広貴船薬局</t>
  </si>
  <si>
    <t>タルタニ薬局廿日市店</t>
  </si>
  <si>
    <t>サン・メディカル薬局（永井店）</t>
  </si>
  <si>
    <t>ププレひまわり薬局春日東店</t>
  </si>
  <si>
    <t>かなえ薬局</t>
  </si>
  <si>
    <t>ウォンツ藤三広薬局</t>
  </si>
  <si>
    <t>にこぴん薬局三吉町店</t>
  </si>
  <si>
    <t>オール薬局新栄橋店</t>
  </si>
  <si>
    <t>せとうち薬局</t>
  </si>
  <si>
    <t>井上一誠堂薬局警固屋店</t>
  </si>
  <si>
    <t>にこぴん薬局手城町店</t>
  </si>
  <si>
    <t>なのはな薬局</t>
  </si>
  <si>
    <t>センター薬局柳津</t>
  </si>
  <si>
    <t>オール薬局吉浦店</t>
  </si>
  <si>
    <t>向島薬局</t>
  </si>
  <si>
    <t>コスモス薬局尾道久保店</t>
  </si>
  <si>
    <t>小野薬局</t>
  </si>
  <si>
    <t>エスマイル薬局たじめ店</t>
  </si>
  <si>
    <t>オリーブ薬局西御所店</t>
  </si>
  <si>
    <t>フタバ薬局</t>
  </si>
  <si>
    <t>明神町薬局</t>
  </si>
  <si>
    <t>るり薬局</t>
  </si>
  <si>
    <t>デイ薬局今津</t>
  </si>
  <si>
    <t>ププレひまわり薬局水呑店</t>
  </si>
  <si>
    <t>府中うさぎ薬局</t>
  </si>
  <si>
    <t>明王薬局</t>
  </si>
  <si>
    <t>有雅堂薬局</t>
  </si>
  <si>
    <t>株式会社東城本郷薬局</t>
  </si>
  <si>
    <t>ベル薬局阿品台店</t>
  </si>
  <si>
    <t>アイン薬局福山御幸店</t>
  </si>
  <si>
    <t>ファーマシィ薬局みのみ</t>
  </si>
  <si>
    <t>瀬田薬局</t>
  </si>
  <si>
    <t>株式会社中島薬局呉駅ビル店</t>
  </si>
  <si>
    <t>ほのか薬局</t>
  </si>
  <si>
    <t>有限会社あきつ薬局</t>
  </si>
  <si>
    <t>どんぐり薬局　北広島店</t>
  </si>
  <si>
    <t>ミック・西条栄町薬局</t>
  </si>
  <si>
    <t>有限会社佐々木回生堂薬局</t>
  </si>
  <si>
    <t>新尾道薬局</t>
  </si>
  <si>
    <t>アイリス薬局</t>
  </si>
  <si>
    <t>パール薬局明石店</t>
  </si>
  <si>
    <t>ププレひまわり薬局江南店</t>
  </si>
  <si>
    <t>クオール薬局　府川町店</t>
  </si>
  <si>
    <t>絵の町薬局</t>
  </si>
  <si>
    <t>四季が丘薬局</t>
  </si>
  <si>
    <t>ヒサシー薬局</t>
  </si>
  <si>
    <t>東手城ココフル薬局</t>
  </si>
  <si>
    <t>ウォンツ三原宮浦薬局</t>
  </si>
  <si>
    <t>うみい薬局新町店</t>
  </si>
  <si>
    <t>福山市沼隈町中山南1450</t>
  </si>
  <si>
    <t>こはる薬局</t>
  </si>
  <si>
    <t>こころ薬局</t>
  </si>
  <si>
    <t>おひさま薬局</t>
  </si>
  <si>
    <t>有限会社三宅調剤薬局</t>
  </si>
  <si>
    <t>キョーエイ薬局さくら</t>
  </si>
  <si>
    <t>日本調剤赤坂薬局</t>
  </si>
  <si>
    <t>コスモス調剤薬局明神店</t>
  </si>
  <si>
    <t>府中市鵜飼町707</t>
  </si>
  <si>
    <t>株式会社だりあ薬局</t>
  </si>
  <si>
    <t>千代田薬局</t>
  </si>
  <si>
    <t>バンブー薬局</t>
  </si>
  <si>
    <t>あい薬局田辺健康館</t>
  </si>
  <si>
    <t>フタバ薬局大国店</t>
  </si>
  <si>
    <t>幸崎調剤薬局</t>
  </si>
  <si>
    <t>黒滝薬局</t>
  </si>
  <si>
    <t>キララ薬局吉田店</t>
  </si>
  <si>
    <t>にこぴん薬局三新田店</t>
  </si>
  <si>
    <t>コスモス薬局引野店</t>
  </si>
  <si>
    <t>庄原センター薬局</t>
  </si>
  <si>
    <t>有限会社グリーン薬局</t>
  </si>
  <si>
    <t>福山市御幸町下岩成338</t>
  </si>
  <si>
    <t>蔵王薬局</t>
  </si>
  <si>
    <t>海田タカズミ薬局</t>
  </si>
  <si>
    <t>音戸アゼリア薬局</t>
  </si>
  <si>
    <t>尾道市向島町14</t>
  </si>
  <si>
    <t>かもがわ薬局</t>
  </si>
  <si>
    <t>大原薬局</t>
  </si>
  <si>
    <t>エスマイル薬局宮内店</t>
  </si>
  <si>
    <t>府中市府川町172</t>
  </si>
  <si>
    <t>さくらんぼ薬局伊勢丘店</t>
  </si>
  <si>
    <t>オール薬局川尻店</t>
  </si>
  <si>
    <t>ププレひまわり薬局木之庄店</t>
  </si>
  <si>
    <t>アイン薬局福山内海店</t>
  </si>
  <si>
    <t>福山市駅家町江良130</t>
  </si>
  <si>
    <t>ありす薬局沖野上店</t>
  </si>
  <si>
    <t>株式会社くれ本通薬局</t>
  </si>
  <si>
    <t>クレディ薬局</t>
  </si>
  <si>
    <t>エンゼル薬局</t>
  </si>
  <si>
    <t>すばる薬局</t>
  </si>
  <si>
    <t>さくら薬局新市店</t>
  </si>
  <si>
    <t>有限会社森川薬局</t>
  </si>
  <si>
    <t>江田島ひかり薬局</t>
  </si>
  <si>
    <t>呉市仁方西神町6</t>
  </si>
  <si>
    <t>オール薬局神辺店</t>
  </si>
  <si>
    <t>有限会社有木薬局</t>
  </si>
  <si>
    <t>タカズミ薬局</t>
  </si>
  <si>
    <t>ウォンツ福山加茂薬局</t>
  </si>
  <si>
    <t>モリオ薬局</t>
  </si>
  <si>
    <t>オール薬局向洋店</t>
  </si>
  <si>
    <t>全快堂薬局八本松店</t>
  </si>
  <si>
    <t>ニック労災前薬局</t>
  </si>
  <si>
    <t>岡田漢方薬局</t>
  </si>
  <si>
    <t>さんくす薬局寺家駅店</t>
  </si>
  <si>
    <t>たかね薬局</t>
  </si>
  <si>
    <t>アローＳ薬局</t>
  </si>
  <si>
    <t>ノムラ薬局大朝店</t>
  </si>
  <si>
    <t>タウン薬局本郷店</t>
  </si>
  <si>
    <t>ももたろう薬局熊野店</t>
  </si>
  <si>
    <t>むべやま薬局</t>
  </si>
  <si>
    <t>呉市豊浜町豊島4027</t>
  </si>
  <si>
    <t>あい薬局平原店</t>
  </si>
  <si>
    <t>クレハ薬局</t>
  </si>
  <si>
    <t>あしべ薬局</t>
  </si>
  <si>
    <t>府中市府中町746</t>
  </si>
  <si>
    <t>西条タカズミ薬局</t>
  </si>
  <si>
    <t>あわや薬局</t>
  </si>
  <si>
    <t>コスモス薬局</t>
  </si>
  <si>
    <t>そうごう薬局蔵王店</t>
  </si>
  <si>
    <t>エスマイル薬局呉本町店</t>
  </si>
  <si>
    <t>ウォンツ海田栄町薬局</t>
  </si>
  <si>
    <t>杏薬局豊栄店</t>
  </si>
  <si>
    <t>旭町薬局</t>
  </si>
  <si>
    <t>ファーマシィ薬局あすなろ</t>
  </si>
  <si>
    <t>宮内タカズミ薬局</t>
  </si>
  <si>
    <t>しみず薬局</t>
  </si>
  <si>
    <t>ザグザグ薬局尾道高須店</t>
  </si>
  <si>
    <t>徳山第一薬局</t>
  </si>
  <si>
    <t>ミント薬局西条中央店</t>
  </si>
  <si>
    <t>ホワイト薬局</t>
  </si>
  <si>
    <t>うきしろ薬局</t>
  </si>
  <si>
    <t>ファーマシィ薬局府中</t>
  </si>
  <si>
    <t>なべか薬局有限会社</t>
  </si>
  <si>
    <t>フラワー薬局</t>
  </si>
  <si>
    <t>株式会社中央薬局</t>
  </si>
  <si>
    <t>あおぞら薬局広国際通り店</t>
  </si>
  <si>
    <t>康仁薬局広本町店</t>
  </si>
  <si>
    <t>有限会社新宮薬局</t>
  </si>
  <si>
    <t>ウエルシア薬局安芸高田吉田店</t>
  </si>
  <si>
    <t>トマト薬局</t>
  </si>
  <si>
    <t>アプコ中央薬局</t>
  </si>
  <si>
    <t>アロー薬局城見店</t>
  </si>
  <si>
    <t>東広島市安芸津町三津4424</t>
  </si>
  <si>
    <t>あゆみ薬局</t>
  </si>
  <si>
    <t>あが中央薬局</t>
  </si>
  <si>
    <t>イチョウ薬局</t>
  </si>
  <si>
    <t>なの花薬局セトピア店</t>
  </si>
  <si>
    <t>イヨウ薬局大門店</t>
  </si>
  <si>
    <t>中央薬局府川店</t>
  </si>
  <si>
    <t>キューピー堂薬局</t>
  </si>
  <si>
    <t>葦陽紅葉町薬局</t>
  </si>
  <si>
    <t>竹原市竹原町2219</t>
  </si>
  <si>
    <t>株式会社にじむら薬局</t>
  </si>
  <si>
    <t>純薬(株)第一薬局廿日市</t>
  </si>
  <si>
    <t>栄町薬局</t>
  </si>
  <si>
    <t>宮地薬局</t>
  </si>
  <si>
    <t>株式会社三条薬局</t>
  </si>
  <si>
    <t>阿品調剤薬局</t>
  </si>
  <si>
    <t>たかの薬局</t>
  </si>
  <si>
    <t>一般社団法人呉市薬剤師会センター薬局北店</t>
  </si>
  <si>
    <t>ヘルシータウンジョイ薬局廿日市市役所駅前店</t>
  </si>
  <si>
    <t>栄町薬局本通店</t>
  </si>
  <si>
    <t>つばき薬局</t>
  </si>
  <si>
    <t>東深津薬局</t>
  </si>
  <si>
    <t>あすなろ薬局</t>
  </si>
  <si>
    <t>西城薬局</t>
  </si>
  <si>
    <t>にこぴん薬局</t>
  </si>
  <si>
    <t>ひらもと薬局海田店</t>
  </si>
  <si>
    <t>葦陽ローズ薬局</t>
  </si>
  <si>
    <t>くるみ薬局</t>
  </si>
  <si>
    <t>ぶどう薬局</t>
  </si>
  <si>
    <t>ゆうゆう薬局</t>
  </si>
  <si>
    <t>アイン薬局三次店</t>
  </si>
  <si>
    <t>マリン薬局広中央店</t>
  </si>
  <si>
    <t>庄原薬局</t>
  </si>
  <si>
    <t>杏薬局</t>
  </si>
  <si>
    <t>ザグザグ薬局松永店</t>
  </si>
  <si>
    <t>マリン薬局三津田店</t>
  </si>
  <si>
    <t>ポポ薬局</t>
  </si>
  <si>
    <t>湯浅薬局</t>
  </si>
  <si>
    <t>有限会社西本広薬局</t>
  </si>
  <si>
    <t>安芸府中薬局</t>
  </si>
  <si>
    <t>いのうえ一誠堂薬局宮原店</t>
  </si>
  <si>
    <t>ファーマシィ薬局せら</t>
  </si>
  <si>
    <t>ファーマシィ薬局神辺</t>
  </si>
  <si>
    <t>イオン薬局イオンスタイル尾道</t>
  </si>
  <si>
    <t>三原こころ薬局</t>
  </si>
  <si>
    <t>とももり薬局</t>
  </si>
  <si>
    <t>クルーズ薬局</t>
  </si>
  <si>
    <t>ウォンツ福山伊勢丘薬局</t>
  </si>
  <si>
    <t>すずらん吉浦薬局</t>
  </si>
  <si>
    <t>すなめ利薬局</t>
  </si>
  <si>
    <t>福山市明治町3</t>
  </si>
  <si>
    <t>マツイ薬局</t>
  </si>
  <si>
    <t>ウエルシア薬局福山東深津店</t>
  </si>
  <si>
    <t>野の花薬局</t>
  </si>
  <si>
    <t>ウォンツアクロスプラザ神辺薬局</t>
  </si>
  <si>
    <t>マリン薬局阿賀店</t>
  </si>
  <si>
    <t>スマイル薬局</t>
  </si>
  <si>
    <t>ファーマシィ薬局ふれあい</t>
  </si>
  <si>
    <t>アロマ薬局東新涯店</t>
  </si>
  <si>
    <t>イオン薬局三原店</t>
  </si>
  <si>
    <t>有限会社フジ薬局</t>
  </si>
  <si>
    <t>ウォンツ薬局府中桃山店</t>
  </si>
  <si>
    <t>さくら薬局</t>
  </si>
  <si>
    <t>一心堂薬局</t>
  </si>
  <si>
    <t>東城もみじ薬局</t>
  </si>
  <si>
    <t>坂中央薬局</t>
  </si>
  <si>
    <t>ププレひまわり薬局宮浦店</t>
  </si>
  <si>
    <t>東広島市西条町寺家7377</t>
  </si>
  <si>
    <t>エスマイル薬局福山南店</t>
  </si>
  <si>
    <t>中央薬局　坂店</t>
  </si>
  <si>
    <t>アプコ高須薬局</t>
  </si>
  <si>
    <t>かんなべ薬局</t>
  </si>
  <si>
    <t>ファーマシィ薬局すみよし</t>
  </si>
  <si>
    <t>メディカル・ワン薬局　呉店</t>
  </si>
  <si>
    <t>三次市粟屋町1731</t>
  </si>
  <si>
    <t>康仁薬局海田店</t>
  </si>
  <si>
    <t>健伸薬局ごじょう店</t>
  </si>
  <si>
    <t>東広島市豊栄町乃美3240</t>
  </si>
  <si>
    <t>有限会社スミヨシ薬局</t>
  </si>
  <si>
    <t>アロー薬局広店</t>
  </si>
  <si>
    <t>さくらんぼ薬局東桜町店</t>
  </si>
  <si>
    <t>せと薬局</t>
  </si>
  <si>
    <t>東手城薬局</t>
  </si>
  <si>
    <t>ファーマシィ薬局みのり</t>
  </si>
  <si>
    <t>メロディ薬局</t>
  </si>
  <si>
    <t>東元町薬局</t>
  </si>
  <si>
    <t>タナダ薬局</t>
  </si>
  <si>
    <t>庄原市高野町新市711</t>
  </si>
  <si>
    <t>大野ぽっぽ薬局</t>
  </si>
  <si>
    <t>トミヤス薬局</t>
  </si>
  <si>
    <t>ソルベ薬局</t>
  </si>
  <si>
    <t>ププレひまわり薬局三吉店</t>
  </si>
  <si>
    <t>ぽぷら薬局</t>
  </si>
  <si>
    <t>ジュン政岡薬局酒屋店</t>
  </si>
  <si>
    <t>アプコセンター薬局</t>
  </si>
  <si>
    <t>オール薬局ゆめモール西条店</t>
  </si>
  <si>
    <t>福山市新市町新市55</t>
  </si>
  <si>
    <t>ウォンツ福山幕山薬局</t>
  </si>
  <si>
    <t>ミブ薬局</t>
  </si>
  <si>
    <t>ウォンツアクロスプラザ三原薬局</t>
  </si>
  <si>
    <t>宮園薬局</t>
  </si>
  <si>
    <t>さくらんぼ薬局沖野上店</t>
  </si>
  <si>
    <t>みどり薬局</t>
  </si>
  <si>
    <t>そうごう薬局陽光台店</t>
  </si>
  <si>
    <t>けんたろう薬局</t>
  </si>
  <si>
    <t>有限会社ヘルシー薬局</t>
  </si>
  <si>
    <t>くまの薬局</t>
  </si>
  <si>
    <t>康仁薬局呉中央店</t>
  </si>
  <si>
    <t>宮原薬局</t>
  </si>
  <si>
    <t>三原薬剤師会センター薬局</t>
  </si>
  <si>
    <t>マリン薬局海岸通店</t>
  </si>
  <si>
    <t>アプコ調剤薬局白市</t>
  </si>
  <si>
    <t>有限会社中本薬局プラザ店</t>
  </si>
  <si>
    <t>アイン薬局三次十日市店</t>
  </si>
  <si>
    <t>中浜薬局</t>
  </si>
  <si>
    <t>サン・メディカル薬局（新市店）</t>
  </si>
  <si>
    <t>株式会社小松薬局本庄店</t>
  </si>
  <si>
    <t>クオール薬局　江田島店</t>
  </si>
  <si>
    <t>にこぴん薬局高木店</t>
  </si>
  <si>
    <t>ミヤオキ薬局ペアシティ店</t>
  </si>
  <si>
    <t>高須薬局</t>
  </si>
  <si>
    <t>(有)エヌ・イー・ピーあおば薬局</t>
  </si>
  <si>
    <t>そうごう薬局福山店</t>
  </si>
  <si>
    <t>あおぞら薬局大竹晴海店</t>
  </si>
  <si>
    <t>ファーマシィ薬局だいもん</t>
  </si>
  <si>
    <t>満井薬局駅前支店</t>
  </si>
  <si>
    <t>くるみ薬局海田店</t>
  </si>
  <si>
    <t>平井薬局</t>
  </si>
  <si>
    <t>いちご薬局</t>
  </si>
  <si>
    <t>オール薬局阿賀店</t>
  </si>
  <si>
    <t>フジエ調剤薬局</t>
  </si>
  <si>
    <t>オール薬局伏原店</t>
  </si>
  <si>
    <t>ピーチ薬局</t>
  </si>
  <si>
    <t>ウォンツ福山御船薬局</t>
  </si>
  <si>
    <t>二反田薬局</t>
  </si>
  <si>
    <t>かわきた薬局</t>
  </si>
  <si>
    <t>オール薬局海岸通店</t>
  </si>
  <si>
    <t>クルーズ薬局天満町店</t>
  </si>
  <si>
    <t>有限会社貴船薬局</t>
  </si>
  <si>
    <t>ほのぼの薬局</t>
  </si>
  <si>
    <t>さんくす薬局田口店</t>
  </si>
  <si>
    <t>たかみニュータウン薬局</t>
  </si>
  <si>
    <t>中本薬局</t>
  </si>
  <si>
    <t>葦陽ミナミ薬局</t>
  </si>
  <si>
    <t>オリーブ薬局</t>
  </si>
  <si>
    <t>有限会社上原薬局</t>
  </si>
  <si>
    <t>株式会社小松薬局焼山北店</t>
  </si>
  <si>
    <t>中町薬局</t>
  </si>
  <si>
    <t>ウォンツ呉四ツ道路薬局</t>
  </si>
  <si>
    <t>ウォンツ福山野上薬局</t>
  </si>
  <si>
    <t>アリチ薬局　平野店</t>
  </si>
  <si>
    <t>くるみ薬局焼山店</t>
  </si>
  <si>
    <t>株式会社小松薬局郷原店</t>
  </si>
  <si>
    <t>健伸薬局土与丸店</t>
  </si>
  <si>
    <t>クルーズ薬局頼兼店</t>
  </si>
  <si>
    <t>オール薬局中通店</t>
  </si>
  <si>
    <t>そうごう薬局御薗宇中央店</t>
  </si>
  <si>
    <t>イヨウ薬局　忠海店</t>
  </si>
  <si>
    <t>なでしこ薬局</t>
  </si>
  <si>
    <t>ウォンツ千代田薬局</t>
  </si>
  <si>
    <t>コスモス薬局西条店</t>
  </si>
  <si>
    <t>関西薬局三原駅前店</t>
  </si>
  <si>
    <t>ププレひまわり薬局緑町店</t>
  </si>
  <si>
    <t>オール薬局府中店</t>
  </si>
  <si>
    <t>大野オレンジ薬局</t>
  </si>
  <si>
    <t>オレンジ薬局</t>
  </si>
  <si>
    <t>ファーコス薬局かがみやま</t>
  </si>
  <si>
    <t>ひらもと薬局西中央店</t>
  </si>
  <si>
    <t>アイカ薬局</t>
  </si>
  <si>
    <t>オーツカ薬局Ⅱ</t>
  </si>
  <si>
    <t>かっぱ薬局</t>
  </si>
  <si>
    <t>よこた薬局</t>
  </si>
  <si>
    <t>みらさか薬局</t>
  </si>
  <si>
    <t>ひらもと薬局阿賀店</t>
  </si>
  <si>
    <t>福山市神辺町川北362</t>
  </si>
  <si>
    <t>オール薬局東中央店</t>
  </si>
  <si>
    <t>たんぽぽ薬局</t>
  </si>
  <si>
    <t>セブン薬局</t>
  </si>
  <si>
    <t>ファーマライン薬局深津店</t>
  </si>
  <si>
    <t>瀬戸田調剤薬局</t>
  </si>
  <si>
    <t>ハロー薬局</t>
  </si>
  <si>
    <t>コスモス薬局向島店</t>
  </si>
  <si>
    <t>有限会社　富士薬局</t>
  </si>
  <si>
    <t>ほほえみ薬局</t>
  </si>
  <si>
    <t>タウン薬局</t>
  </si>
  <si>
    <t>ありす薬局高須店</t>
  </si>
  <si>
    <t>オール薬局呉宝町店</t>
  </si>
  <si>
    <t>ありす薬局土堂店</t>
  </si>
  <si>
    <t>大門のぞみ薬局</t>
  </si>
  <si>
    <t>尾道市御調町市106</t>
  </si>
  <si>
    <t>ひので薬局　高須店</t>
  </si>
  <si>
    <t>ププレひまわり薬局尾道中央店</t>
  </si>
  <si>
    <t>株式会社小松薬局</t>
  </si>
  <si>
    <t>アロー薬局沼隈店</t>
  </si>
  <si>
    <t>ばら薬局</t>
  </si>
  <si>
    <t>有限会社鳳鳴館薬局</t>
  </si>
  <si>
    <t>薬膳薬局志和店</t>
  </si>
  <si>
    <t>丸山薬局</t>
  </si>
  <si>
    <t>フレンド薬局</t>
  </si>
  <si>
    <t>にこぴん薬局伊勢丘店</t>
  </si>
  <si>
    <t>佐藤薬局</t>
  </si>
  <si>
    <t>康仁薬局宝町店</t>
  </si>
  <si>
    <t>ファーマシィ薬局今津</t>
  </si>
  <si>
    <t>ファミリー薬局</t>
  </si>
  <si>
    <t>寺岡薬局</t>
  </si>
  <si>
    <t>ゆめ薬局</t>
  </si>
  <si>
    <t>ミント薬局廿日市天神店</t>
  </si>
  <si>
    <t>すずらん薬局海田店</t>
  </si>
  <si>
    <t>かんだ薬局</t>
  </si>
  <si>
    <t>あおぞら薬局広中町店</t>
  </si>
  <si>
    <t>ププレひまわり薬局多治米店</t>
  </si>
  <si>
    <t>メディエント尾道西薬局</t>
  </si>
  <si>
    <t>宮の町調剤薬局</t>
  </si>
  <si>
    <t>あざみ薬局</t>
  </si>
  <si>
    <t>すみれ薬局</t>
  </si>
  <si>
    <t>厚仁堂薬局</t>
  </si>
  <si>
    <t>ファーマシィ薬局あけぼの</t>
  </si>
  <si>
    <t>有限会社ひかり薬局</t>
  </si>
  <si>
    <t>ファーマシィ薬局新高山</t>
  </si>
  <si>
    <t>アロー薬局東中央店</t>
  </si>
  <si>
    <t>リアン薬局</t>
  </si>
  <si>
    <t>株式会社中島薬局畑店</t>
  </si>
  <si>
    <t>たちかけ薬局</t>
  </si>
  <si>
    <t>ファースト薬局宮島口店</t>
  </si>
  <si>
    <t>株式会社小松薬局東片山店</t>
  </si>
  <si>
    <t>本郷薬局</t>
  </si>
  <si>
    <t>新市中央薬局大正通り店</t>
  </si>
  <si>
    <t>殿賀薬局</t>
  </si>
  <si>
    <t>シンメ薬局</t>
  </si>
  <si>
    <t>因島市薬剤師センター薬局</t>
  </si>
  <si>
    <t>ファーマシィ薬局沖野上</t>
  </si>
  <si>
    <t>第一薬局</t>
  </si>
  <si>
    <t>アルファ薬局</t>
  </si>
  <si>
    <t>玉浦薬局</t>
  </si>
  <si>
    <t>平木調剤薬局</t>
  </si>
  <si>
    <t>マリン薬局広店</t>
  </si>
  <si>
    <t>株式会社小松薬局山ノ上店</t>
  </si>
  <si>
    <t>ひまわり薬局</t>
  </si>
  <si>
    <t>アロー薬局呉中央店</t>
  </si>
  <si>
    <t>ポピー薬局</t>
  </si>
  <si>
    <t>のばら薬局</t>
  </si>
  <si>
    <t>ももたろう薬局海岸店</t>
  </si>
  <si>
    <t>有限会社焼山貴船薬局</t>
  </si>
  <si>
    <t>うさぎ薬局</t>
  </si>
  <si>
    <t>なごみ薬局</t>
  </si>
  <si>
    <t>にこぴん薬局ばら公園店</t>
  </si>
  <si>
    <t>あおぞら薬局</t>
  </si>
  <si>
    <t>そうごう薬局川尻店</t>
  </si>
  <si>
    <t>健康堂薬局</t>
  </si>
  <si>
    <t>エスマイル薬局かまがり店</t>
  </si>
  <si>
    <t>福山市水呑町4457</t>
  </si>
  <si>
    <t>エスマイル薬局天応南店</t>
  </si>
  <si>
    <t>オール薬局焼山店</t>
  </si>
  <si>
    <t>労災前のぞみ薬局</t>
  </si>
  <si>
    <t>井上一誠堂薬局</t>
  </si>
  <si>
    <t>豊島薬局</t>
  </si>
  <si>
    <t>まごころ薬局</t>
  </si>
  <si>
    <t>クレオ薬局</t>
  </si>
  <si>
    <t>のぞみ薬局</t>
  </si>
  <si>
    <t>にこぴん薬局千田町店</t>
  </si>
  <si>
    <t>ウォンツ広白石薬局</t>
  </si>
  <si>
    <t>ウォンツ広本町薬局</t>
  </si>
  <si>
    <t>ももたろう薬局吉浦店</t>
  </si>
  <si>
    <t>ファーマシィ薬局尾道</t>
  </si>
  <si>
    <t>ケツメイシ薬局</t>
  </si>
  <si>
    <t>有限会社仁方本町薬局</t>
  </si>
  <si>
    <t>ももたろう薬局焼山店</t>
  </si>
  <si>
    <t>あおぞら薬局広公園店</t>
  </si>
  <si>
    <t>コスモス薬局呉中通店</t>
  </si>
  <si>
    <t>日本調剤呉薬局</t>
  </si>
  <si>
    <t>アロー薬局呉店</t>
  </si>
  <si>
    <t>そうごう薬局藤脇店</t>
  </si>
  <si>
    <t>オール薬局新広店</t>
  </si>
  <si>
    <t>西条あんず薬局</t>
  </si>
  <si>
    <t>オール薬局呉本通店</t>
  </si>
  <si>
    <t>オール薬局郷原店</t>
  </si>
  <si>
    <t>ホーム薬局</t>
  </si>
  <si>
    <t>薬膳薬局東広島西条店</t>
  </si>
  <si>
    <t>ウォンツ薬局呉共済病院前店</t>
  </si>
  <si>
    <t>広薬局</t>
  </si>
  <si>
    <t>ソルベ薬局呉本通店</t>
  </si>
  <si>
    <t>康仁薬局仁方店</t>
  </si>
  <si>
    <t>康仁薬局広二級橋店</t>
  </si>
  <si>
    <t>康仁薬局新広店</t>
  </si>
  <si>
    <t>康仁薬局神山店</t>
  </si>
  <si>
    <t>さんくす薬局呉店</t>
  </si>
  <si>
    <t>康仁薬局呉本町店</t>
  </si>
  <si>
    <t>みつば薬局</t>
  </si>
  <si>
    <t>こもれび薬局</t>
  </si>
  <si>
    <t>ププレひまわり薬局川北店</t>
  </si>
  <si>
    <t>井上一誠堂薬局音戸御所の浦店</t>
  </si>
  <si>
    <t>ザグザグ薬局呉中央店</t>
  </si>
  <si>
    <t>ライフ薬局</t>
  </si>
  <si>
    <t>ソレイユ薬局焼山店</t>
  </si>
  <si>
    <t>オール薬局三条店</t>
  </si>
  <si>
    <t>神田薬局</t>
  </si>
  <si>
    <t>クオール薬局　神石高原店</t>
  </si>
  <si>
    <t>堂面薬局</t>
  </si>
  <si>
    <t>岡本薬局ファーマシー</t>
  </si>
  <si>
    <t>有限会社竹原中央薬局</t>
  </si>
  <si>
    <t>アプコUnity薬局</t>
  </si>
  <si>
    <t>つくし薬局</t>
  </si>
  <si>
    <t>原田薬局</t>
  </si>
  <si>
    <t>きらり薬局</t>
  </si>
  <si>
    <t>竹原市竹原町3644</t>
  </si>
  <si>
    <t>しんがい薬局</t>
  </si>
  <si>
    <t>アロー薬局御幸店</t>
  </si>
  <si>
    <t>有限会社ときわ薬局</t>
  </si>
  <si>
    <t>マツオ薬局</t>
  </si>
  <si>
    <t>多森薬局</t>
  </si>
  <si>
    <t>オール薬局西条店</t>
  </si>
  <si>
    <t>ときわ薬局宮沖店</t>
  </si>
  <si>
    <t>三原中央薬局</t>
  </si>
  <si>
    <t>木之庄薬局</t>
  </si>
  <si>
    <t>あおい薬局株式会社</t>
  </si>
  <si>
    <t>ありす薬局糸崎店</t>
  </si>
  <si>
    <t>有限会社久井シンポ薬局</t>
  </si>
  <si>
    <t>なの花薬局城町店</t>
  </si>
  <si>
    <t>なの花薬局本町えびす店</t>
  </si>
  <si>
    <t>なの花薬局宮浦店</t>
  </si>
  <si>
    <t>三原薬剤師会センター薬局日赤前店</t>
  </si>
  <si>
    <t>ウォンツ三原古浜薬局</t>
  </si>
  <si>
    <t>ときわ薬局海光</t>
  </si>
  <si>
    <t>有田薬局</t>
  </si>
  <si>
    <t>三原なみき薬局</t>
  </si>
  <si>
    <t>ププレひまわり薬局三原南店</t>
  </si>
  <si>
    <t>ザグザグ薬局三原皆実店</t>
  </si>
  <si>
    <t>みのり薬局</t>
  </si>
  <si>
    <t>みのり薬局港町</t>
  </si>
  <si>
    <t>興徳積善薬局</t>
  </si>
  <si>
    <t>麻生中央薬局</t>
  </si>
  <si>
    <t>漢方健仁堂薬局</t>
  </si>
  <si>
    <t>古浜薬局</t>
  </si>
  <si>
    <t>ベガ薬局尾道店</t>
  </si>
  <si>
    <t>あしたば薬局</t>
  </si>
  <si>
    <t>ありす薬局神辺店</t>
  </si>
  <si>
    <t>アイカ新浜薬局</t>
  </si>
  <si>
    <t>アプコ東尾道薬局</t>
  </si>
  <si>
    <t>尾道市高須町5738</t>
  </si>
  <si>
    <t>ファーマシィ薬局伊勢丘</t>
  </si>
  <si>
    <t>あんず薬局</t>
  </si>
  <si>
    <t>白金薬局</t>
  </si>
  <si>
    <t>ありす薬局東尾道店</t>
  </si>
  <si>
    <t>全快堂薬局尾道店</t>
  </si>
  <si>
    <t>ザグザグ薬局曙店</t>
  </si>
  <si>
    <t>尾道中央薬局西御所店</t>
  </si>
  <si>
    <t>津部田薬局</t>
  </si>
  <si>
    <t>なの花薬局平原店</t>
  </si>
  <si>
    <t>ウォンツ福山駅家薬局</t>
  </si>
  <si>
    <t>ひので薬局別館</t>
  </si>
  <si>
    <t>ファーマシィ薬局病院前</t>
  </si>
  <si>
    <t>ドレミファ薬局</t>
  </si>
  <si>
    <t>田熊本町調剤薬局</t>
  </si>
  <si>
    <t>富浜薬局</t>
  </si>
  <si>
    <t>康仁薬局</t>
  </si>
  <si>
    <t>スモモ薬局</t>
  </si>
  <si>
    <t>麻生薬局</t>
  </si>
  <si>
    <t>共立薬局</t>
  </si>
  <si>
    <t>さつき薬局</t>
  </si>
  <si>
    <t>市薬局</t>
  </si>
  <si>
    <t>尾道市御調町市100</t>
  </si>
  <si>
    <t>栗原本通薬局</t>
  </si>
  <si>
    <t>尾道市高須町5280</t>
  </si>
  <si>
    <t>あかり薬局</t>
  </si>
  <si>
    <t>有限会社中本薬局</t>
  </si>
  <si>
    <t>第一調剤薬局</t>
  </si>
  <si>
    <t>尾道市因島土生町2090</t>
  </si>
  <si>
    <t>宇和部薬局</t>
  </si>
  <si>
    <t>すなお薬局</t>
  </si>
  <si>
    <t>因島調剤薬局</t>
  </si>
  <si>
    <t>有限会社塩浜調剤薬局</t>
  </si>
  <si>
    <t>寺西薬局</t>
  </si>
  <si>
    <t>病院前薬局</t>
  </si>
  <si>
    <t>今岡薬局医療センター前店</t>
  </si>
  <si>
    <t>川上薬局</t>
  </si>
  <si>
    <t>葦陽王子中央薬局</t>
  </si>
  <si>
    <t>竹腰薬局</t>
  </si>
  <si>
    <t>有限会社みどり薬局</t>
  </si>
  <si>
    <t>葦陽高西薬局</t>
  </si>
  <si>
    <t>大黒調剤薬局</t>
  </si>
  <si>
    <t>鞆調剤薬局</t>
  </si>
  <si>
    <t>宮野薬局</t>
  </si>
  <si>
    <t>有限会社エコー薬局</t>
  </si>
  <si>
    <t>すずらん薬局</t>
  </si>
  <si>
    <t>有限会社ユーアイ薬局</t>
  </si>
  <si>
    <t>エース天元堂薬局</t>
  </si>
  <si>
    <t>サン・メディカル薬局（道三店）</t>
  </si>
  <si>
    <t>大黒調剤薬局明治町店</t>
  </si>
  <si>
    <t>ファーマシィ薬局クレール</t>
  </si>
  <si>
    <t>とも西町薬局</t>
  </si>
  <si>
    <t>トムロ薬局</t>
  </si>
  <si>
    <t>さわやか薬局</t>
  </si>
  <si>
    <t>エスマイル薬局住吉店</t>
  </si>
  <si>
    <t>サン・メディカル薬局（川口店）</t>
  </si>
  <si>
    <t>つばさ薬局</t>
  </si>
  <si>
    <t>ひろ薬局</t>
  </si>
  <si>
    <t>ファーマシィ薬局新涯</t>
  </si>
  <si>
    <t>キョーエイ薬局かんな</t>
  </si>
  <si>
    <t>サン・メディカル薬局（松永店）</t>
  </si>
  <si>
    <t>ファーマシィ薬局南本庄</t>
  </si>
  <si>
    <t>みゅう薬局</t>
  </si>
  <si>
    <t>ももたろう薬局駅家店</t>
  </si>
  <si>
    <t>全快堂薬局</t>
  </si>
  <si>
    <t>杉田薬局</t>
  </si>
  <si>
    <t>菜の花薬局</t>
  </si>
  <si>
    <t>センター薬局</t>
  </si>
  <si>
    <t>サン・メディカル薬局（東桜町店）</t>
  </si>
  <si>
    <t>あすか薬局</t>
  </si>
  <si>
    <t>ファーマシィ薬局たけがはな</t>
  </si>
  <si>
    <t>ミント薬局</t>
  </si>
  <si>
    <t>ちとせユーキ薬局</t>
  </si>
  <si>
    <t>安芸調剤薬局</t>
  </si>
  <si>
    <t>ファーマシィ薬局松永ファミール</t>
  </si>
  <si>
    <t>くるみ薬局駅家店</t>
  </si>
  <si>
    <t>アース薬局</t>
  </si>
  <si>
    <t>わかば薬局</t>
  </si>
  <si>
    <t>ふれあいローズ薬局</t>
  </si>
  <si>
    <t>エスマイル薬局みどり町店</t>
  </si>
  <si>
    <t>ふれあいぶどう薬局</t>
  </si>
  <si>
    <t>東広島市高屋町杵原1288</t>
  </si>
  <si>
    <t>とも水呑薬局</t>
  </si>
  <si>
    <t>福山市水呑町4433</t>
  </si>
  <si>
    <t>エスマイル薬局かすみ店</t>
  </si>
  <si>
    <t>くまのみ薬局</t>
  </si>
  <si>
    <t>そうごう薬局近田店</t>
  </si>
  <si>
    <t>在宅支援ザグザグ薬局多治米店</t>
  </si>
  <si>
    <t>薬局クオリス</t>
  </si>
  <si>
    <t>サラダ薬局</t>
  </si>
  <si>
    <t>ももたろう薬局府中店</t>
  </si>
  <si>
    <t>アイワ薬局</t>
  </si>
  <si>
    <t>アイン薬局福山蔵王店</t>
  </si>
  <si>
    <t>そうごう薬局幕山中央店</t>
  </si>
  <si>
    <t>ププレひまわり薬局御幸店</t>
  </si>
  <si>
    <t>コスモス薬局多治米店</t>
  </si>
  <si>
    <t>アプコ松永薬局</t>
  </si>
  <si>
    <t>ウォンツハピアス駅家薬局</t>
  </si>
  <si>
    <t>ファーマシィ薬局加茂</t>
  </si>
  <si>
    <t>エスマイル薬局野上店</t>
  </si>
  <si>
    <t>樹の実薬局</t>
  </si>
  <si>
    <t>とうしん薬局</t>
  </si>
  <si>
    <t>クオール薬局　御領店</t>
  </si>
  <si>
    <t>コスモス薬局神辺店</t>
  </si>
  <si>
    <t>かえで薬局</t>
  </si>
  <si>
    <t>どんぐり薬局</t>
  </si>
  <si>
    <t>オレンジ薬局光南店</t>
  </si>
  <si>
    <t>川北薬局</t>
  </si>
  <si>
    <t>オール薬局駅家店</t>
  </si>
  <si>
    <t>オール薬局近田店</t>
  </si>
  <si>
    <t>オール薬局松浜店</t>
  </si>
  <si>
    <t>キララ薬局地御前店</t>
  </si>
  <si>
    <t>クルーズ薬局多治米店</t>
  </si>
  <si>
    <t>花園薬局</t>
  </si>
  <si>
    <t>ぞうさん薬局</t>
  </si>
  <si>
    <t>ファーマシィ薬局引野</t>
  </si>
  <si>
    <t>ププレひまわり薬局蔵王店</t>
  </si>
  <si>
    <t>さくらんぼ薬局東深津店</t>
  </si>
  <si>
    <t>にこぴん薬局北吉津店</t>
  </si>
  <si>
    <t>アイプラス薬局新市店</t>
  </si>
  <si>
    <t>ププレひまわり薬局多治米２号店</t>
  </si>
  <si>
    <t>コスモス調剤薬局川口店</t>
  </si>
  <si>
    <t>アイン薬局福山大門店</t>
  </si>
  <si>
    <t>福山市大門町津之下2033</t>
  </si>
  <si>
    <t>福山市新市町新市376</t>
  </si>
  <si>
    <t>アプコUnity薬局駅家</t>
  </si>
  <si>
    <t>みらい薬局</t>
  </si>
  <si>
    <t>ひつじ薬局</t>
  </si>
  <si>
    <t>ウォンツ福山松永薬局</t>
  </si>
  <si>
    <t>ププレひまわり薬局新涯店</t>
  </si>
  <si>
    <t>ププレひまわり薬局松浜店</t>
  </si>
  <si>
    <t>あしだ町薬局</t>
  </si>
  <si>
    <t>ふくろう薬局</t>
  </si>
  <si>
    <t>ププレひまわり薬局グラン松永店</t>
  </si>
  <si>
    <t>エコー薬局野上店</t>
  </si>
  <si>
    <t>ファーマシィ薬局国立前</t>
  </si>
  <si>
    <t>ププレひまわり薬局福山新涯１丁目店</t>
  </si>
  <si>
    <t>そうごう薬局串戸店</t>
  </si>
  <si>
    <t>ステーション薬局</t>
  </si>
  <si>
    <t>ファーマシィ薬局マロン</t>
  </si>
  <si>
    <t>府中タカズミ薬局</t>
  </si>
  <si>
    <t>あやめ薬局</t>
  </si>
  <si>
    <t>あやめ薬局沖見店</t>
  </si>
  <si>
    <t>日本調剤上下薬局</t>
  </si>
  <si>
    <t>あやめ薬局矢野店</t>
  </si>
  <si>
    <t>ヘルシー薬局</t>
  </si>
  <si>
    <t>共創未来府中薬局</t>
  </si>
  <si>
    <t>ヨコヤマ薬局</t>
  </si>
  <si>
    <t>エスマイル薬局府中店</t>
  </si>
  <si>
    <t>さくらんぼ薬局府中店</t>
  </si>
  <si>
    <t>中央薬局</t>
  </si>
  <si>
    <t>さくらんぼ薬局高木店</t>
  </si>
  <si>
    <t>府中市高木町654</t>
  </si>
  <si>
    <t>オール薬局備後府中店</t>
  </si>
  <si>
    <t>府中元町薬局</t>
  </si>
  <si>
    <t>アイン薬局備後府中高木店</t>
  </si>
  <si>
    <t>コウノ薬局</t>
  </si>
  <si>
    <t>こばと薬局</t>
  </si>
  <si>
    <t>新家薬局</t>
  </si>
  <si>
    <t>(有)エヌ・イー・ピーアリス薬局</t>
  </si>
  <si>
    <t>ファーマシィ薬局三次センター</t>
  </si>
  <si>
    <t>ともえ薬局</t>
  </si>
  <si>
    <t>ファーマシィ薬局三次</t>
  </si>
  <si>
    <t>あかね薬局</t>
  </si>
  <si>
    <t>三次スマイル薬局</t>
  </si>
  <si>
    <t>三次全快堂薬局</t>
  </si>
  <si>
    <t>十日市薬局</t>
  </si>
  <si>
    <t>ファーマシィ薬局こうぬ</t>
  </si>
  <si>
    <t>ふの薬局</t>
  </si>
  <si>
    <t>しわち薬局</t>
  </si>
  <si>
    <t>備北スマイル薬局</t>
  </si>
  <si>
    <t>ウォンツ薬局三次店</t>
  </si>
  <si>
    <t>ファーマシィ薬局健美</t>
  </si>
  <si>
    <t>みずき薬局</t>
  </si>
  <si>
    <t>三次市三次町1545</t>
  </si>
  <si>
    <t>ウォンツフレスポ三次プラザ薬局</t>
  </si>
  <si>
    <t>エスマイル薬局あおぞら店</t>
  </si>
  <si>
    <t>しんいち薬局</t>
  </si>
  <si>
    <t>スマイル薬局板橋店</t>
  </si>
  <si>
    <t>庄原しんいち薬局</t>
  </si>
  <si>
    <t>(有)エヌ・イー・ピーなのはな薬局</t>
  </si>
  <si>
    <t>西城三上薬局</t>
  </si>
  <si>
    <t>お通り薬局</t>
  </si>
  <si>
    <t>大竹ヘルシー薬局</t>
  </si>
  <si>
    <t>立戸薬局</t>
  </si>
  <si>
    <t>本町薬局</t>
  </si>
  <si>
    <t>有限会社いまだ薬局</t>
  </si>
  <si>
    <t>玖波駅前薬局</t>
  </si>
  <si>
    <t>有限会社江本薬局</t>
  </si>
  <si>
    <t>有限会社あすなろあゆみ薬局</t>
  </si>
  <si>
    <t>有限会社ヘルシー第一薬局</t>
  </si>
  <si>
    <t>山陽薬局</t>
  </si>
  <si>
    <t>そうごう薬局大竹店</t>
  </si>
  <si>
    <t>うみい薬局</t>
  </si>
  <si>
    <t>ウォンツ大竹薬局</t>
  </si>
  <si>
    <t>サン薬局</t>
  </si>
  <si>
    <t>つつじ薬局</t>
  </si>
  <si>
    <t>大竹元町薬局</t>
  </si>
  <si>
    <t>おおたけ駅前薬局</t>
  </si>
  <si>
    <t>西栄薬局</t>
  </si>
  <si>
    <t>ありす薬局</t>
  </si>
  <si>
    <t>よつば薬局</t>
  </si>
  <si>
    <t>エンゼル薬局志和店</t>
  </si>
  <si>
    <t>たいせい堂薬局中央店</t>
  </si>
  <si>
    <t>すぎはら薬局高屋店</t>
  </si>
  <si>
    <t>全快堂薬局寺家店</t>
  </si>
  <si>
    <t>西条おおさわ薬局</t>
  </si>
  <si>
    <t>もみじ薬局</t>
  </si>
  <si>
    <t>八本松ココ薬局</t>
  </si>
  <si>
    <t>造賀全快堂薬局</t>
  </si>
  <si>
    <t>エンゼル薬局田口店</t>
  </si>
  <si>
    <t>八本松駅前薬局</t>
  </si>
  <si>
    <t>健伸薬局よこた店</t>
  </si>
  <si>
    <t>賀茂セルム薬局</t>
  </si>
  <si>
    <t>にしたかや薬局</t>
  </si>
  <si>
    <t>くろせ薬局</t>
  </si>
  <si>
    <t>セルム薬局</t>
  </si>
  <si>
    <t>風早薬局</t>
  </si>
  <si>
    <t>そうごう薬局西条店</t>
  </si>
  <si>
    <t>そうごう薬局八本松店</t>
  </si>
  <si>
    <t>だいだい薬局したみ</t>
  </si>
  <si>
    <t>あおぞら薬局坂駅前店</t>
  </si>
  <si>
    <t>あかね薬局高屋店</t>
  </si>
  <si>
    <t>全快堂・おかまち薬局</t>
  </si>
  <si>
    <t>中元薬局パルパ店</t>
  </si>
  <si>
    <t>東広島タカズミ薬局</t>
  </si>
  <si>
    <t>エスマイル薬局昭和町店</t>
  </si>
  <si>
    <t>そうごう薬局御薗宇店</t>
  </si>
  <si>
    <t>コスモス薬局福富店</t>
  </si>
  <si>
    <t>はるな薬局</t>
  </si>
  <si>
    <t>ひかり薬局</t>
  </si>
  <si>
    <t>コスモス薬局府中店</t>
  </si>
  <si>
    <t>あい薬局</t>
  </si>
  <si>
    <t>じけ薬局</t>
  </si>
  <si>
    <t>加島薬局</t>
  </si>
  <si>
    <t>かなえ薬局寺家</t>
  </si>
  <si>
    <t>早田薬局</t>
  </si>
  <si>
    <t>ウォンツ西条西薬局</t>
  </si>
  <si>
    <t>ザグザグ薬局西条西本町店</t>
  </si>
  <si>
    <t>さんくす薬局</t>
  </si>
  <si>
    <t>さんくす薬局高屋店</t>
  </si>
  <si>
    <t>くるみ薬局黒瀬店</t>
  </si>
  <si>
    <t>ウォンツ高屋薬局</t>
  </si>
  <si>
    <t>東広島市西条町助実1172</t>
  </si>
  <si>
    <t>AOI薬局</t>
  </si>
  <si>
    <t>ウエルシア薬局東広島八本松飯田店</t>
  </si>
  <si>
    <t>ナナイロ薬局</t>
  </si>
  <si>
    <t>ファーマシィ薬局西条</t>
  </si>
  <si>
    <t>ウォンツ西条御条薬局</t>
  </si>
  <si>
    <t>ヘルシータウンジョイ薬局</t>
  </si>
  <si>
    <t>地御前薬局</t>
  </si>
  <si>
    <t>エース薬局</t>
  </si>
  <si>
    <t>めじろ薬局有限会社廿日市めじろ薬局</t>
  </si>
  <si>
    <t>(有)エヌ・イー・ピーうさぎ薬局</t>
  </si>
  <si>
    <t>アクア薬局</t>
  </si>
  <si>
    <t>純薬(株)地御前アゼリア薬局</t>
  </si>
  <si>
    <t>廿日市上野薬局</t>
  </si>
  <si>
    <t>タウン薬局ナタリー店</t>
  </si>
  <si>
    <t>平良しみず薬局</t>
  </si>
  <si>
    <t>おおのうら薬局</t>
  </si>
  <si>
    <t>森川薬局青葉台店</t>
  </si>
  <si>
    <t>ウォンツ佐方薬局</t>
  </si>
  <si>
    <t>ウォンツ大野薬局</t>
  </si>
  <si>
    <t>串戸ゆい薬局</t>
  </si>
  <si>
    <t>株式会社みやじま薬局</t>
  </si>
  <si>
    <t>ウォンツ宮内薬局</t>
  </si>
  <si>
    <t>廿日市市宮内4479</t>
  </si>
  <si>
    <t>康仁薬局廿日市中央店</t>
  </si>
  <si>
    <t>康仁薬局宮内串戸店</t>
  </si>
  <si>
    <t>廿日市本町薬局</t>
  </si>
  <si>
    <t>あけぼの薬局廿日市店</t>
  </si>
  <si>
    <t>みなみ薬局</t>
  </si>
  <si>
    <t>中央薬局　切串店</t>
  </si>
  <si>
    <t>呉市下蒲刈町下島2488</t>
  </si>
  <si>
    <t>有限会社ナカマチ薬局</t>
  </si>
  <si>
    <t>出来庭薬局</t>
  </si>
  <si>
    <t>幸城薬局田原店</t>
  </si>
  <si>
    <t>幸城薬局藤三御所ノ浦店</t>
  </si>
  <si>
    <t>さふらん薬局</t>
  </si>
  <si>
    <t>株式会社かみしま薬局本店</t>
  </si>
  <si>
    <t>康仁薬局熊野店</t>
  </si>
  <si>
    <t>有限会社タナベ薬局府中店</t>
  </si>
  <si>
    <t>加藤薬品本店</t>
  </si>
  <si>
    <t>海田市薬局</t>
  </si>
  <si>
    <t>府中つばき薬局</t>
  </si>
  <si>
    <t>㈲向洋薬局駅前店</t>
  </si>
  <si>
    <t>ニコニコ薬局</t>
  </si>
  <si>
    <t>府中石井城薬局</t>
  </si>
  <si>
    <t>広貫堂薬局日の出町店</t>
  </si>
  <si>
    <t>安芸高田市吉田町吉田3627</t>
  </si>
  <si>
    <t>コスモス薬局海田東店</t>
  </si>
  <si>
    <t>柊薬局</t>
  </si>
  <si>
    <t>やまさか薬局</t>
  </si>
  <si>
    <t>ズームズーム薬局</t>
  </si>
  <si>
    <t>ウォンツ府中本町薬局</t>
  </si>
  <si>
    <t>大柿薬局</t>
  </si>
  <si>
    <t>あかね薬局海田店</t>
  </si>
  <si>
    <t>府中どんぐり薬局</t>
  </si>
  <si>
    <t>府中みずほ薬局</t>
  </si>
  <si>
    <t>有限会社ヒラノ薬局</t>
  </si>
  <si>
    <t>アロー薬局常石店</t>
  </si>
  <si>
    <t>イオン薬局イオンスタイル広島府中</t>
  </si>
  <si>
    <t>くすのき薬局</t>
  </si>
  <si>
    <t>康仁薬局府中店</t>
  </si>
  <si>
    <t>ソレイユ薬局青崎店</t>
  </si>
  <si>
    <t>あおい薬局海田店</t>
  </si>
  <si>
    <t>ウォンツ府中浜田薬局</t>
  </si>
  <si>
    <t>㈲佐伯調剤薬局</t>
  </si>
  <si>
    <t>廿日市市津田1960</t>
  </si>
  <si>
    <t>有限会社第一調剤薬局</t>
  </si>
  <si>
    <t>(有)エヌ・イー・ピーもみじ薬局</t>
  </si>
  <si>
    <t>ふたがみ薬局</t>
  </si>
  <si>
    <t>ももたろう薬局大柿店</t>
  </si>
  <si>
    <t>(有)エヌ・イー・ピーなずな薬局</t>
  </si>
  <si>
    <t>有限会社前空薬局</t>
  </si>
  <si>
    <t>アイケン宮島口薬局</t>
  </si>
  <si>
    <t>アロー薬局能美店</t>
  </si>
  <si>
    <t>山県郡北広島町有田1189</t>
  </si>
  <si>
    <t>もみじ薬局戸河内店</t>
  </si>
  <si>
    <t>山県郡北広島町有田609</t>
  </si>
  <si>
    <t>げいほく薬局</t>
  </si>
  <si>
    <t>クオール薬局　安芸太田店</t>
  </si>
  <si>
    <t>向原薬局</t>
  </si>
  <si>
    <t>甲田センター薬局</t>
  </si>
  <si>
    <t>メイプル薬局</t>
  </si>
  <si>
    <t>美土里コスモ薬局</t>
  </si>
  <si>
    <t>こうだ薬局</t>
  </si>
  <si>
    <t>すずらん薬局高宮店</t>
  </si>
  <si>
    <t>コスモ薬局</t>
  </si>
  <si>
    <t>吉田全快堂薬局</t>
  </si>
  <si>
    <t>パール薬局吉田店</t>
  </si>
  <si>
    <t>有限会社まえのぶ薬局</t>
  </si>
  <si>
    <t>竹乗天命堂薬局</t>
  </si>
  <si>
    <t>大和薬局</t>
  </si>
  <si>
    <t>セブン薬局大崎店</t>
  </si>
  <si>
    <t>光原薬局</t>
  </si>
  <si>
    <t>ヒトミ薬局</t>
  </si>
  <si>
    <t>株式会社戸田栄光堂薬局</t>
  </si>
  <si>
    <t>有限会社兼吉調剤薬局</t>
  </si>
  <si>
    <t>かわち薬局</t>
  </si>
  <si>
    <t>らん薬局</t>
  </si>
  <si>
    <t>花みずき薬局</t>
  </si>
  <si>
    <t>マツオ薬局本店</t>
  </si>
  <si>
    <t>アロー薬局甲山店</t>
  </si>
  <si>
    <t>あやめ薬局せら店</t>
  </si>
  <si>
    <t>エスマイル薬局こうげん店</t>
  </si>
  <si>
    <t>エンゼル薬局世羅店</t>
  </si>
  <si>
    <t>有限会社ルビー薬局</t>
  </si>
  <si>
    <t>福山市神辺町新徳田308</t>
  </si>
  <si>
    <t>有限会社安岡薬局</t>
  </si>
  <si>
    <t>ファーマシィ薬局新徳田</t>
  </si>
  <si>
    <t>しんめい堂薬局</t>
  </si>
  <si>
    <t>すずな薬局</t>
  </si>
  <si>
    <t>マルシン薬局</t>
  </si>
  <si>
    <t>福山市新市町新市616</t>
  </si>
  <si>
    <t>山岡薬局</t>
  </si>
  <si>
    <t>しばた薬局</t>
  </si>
  <si>
    <t>新市中央薬局</t>
  </si>
  <si>
    <t>ヤックス本店薬局</t>
  </si>
  <si>
    <t>有限会社大成権尚旭堂薬局</t>
  </si>
  <si>
    <t>府中市上下町上下1008</t>
  </si>
  <si>
    <t>有限会社吉川薬局</t>
  </si>
  <si>
    <t>三上薬局産業道路店</t>
  </si>
  <si>
    <t>三上薬局駅前店</t>
  </si>
  <si>
    <t>指定有効
終了日</t>
    <phoneticPr fontId="1"/>
  </si>
  <si>
    <t>❖令和6年6月30日現在</t>
  </si>
  <si>
    <t>指定難病　指定医療機関一覧（薬局）</t>
    <rPh sb="0" eb="2">
      <t>シテイ</t>
    </rPh>
    <rPh sb="2" eb="4">
      <t>ナンビョウ</t>
    </rPh>
    <rPh sb="14" eb="16">
      <t>ヤッキョク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</si>
</sst>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3"/>
      <scheme val="minor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2"/>
      <color theme="1"/>
      <name val="游ゴシック"/>
      <family val="3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57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1">
    <cellStyle name="標準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44" formatCode="[$-411]ge\.m\.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9297EC0-4C1E-4530-9F5B-B1DB827FD87A}" name="テーブル2" displayName="テーブル2" ref="A3:C883" totalsRowShown="0" headerRowDxfId="3">
  <autoFilter ref="A3:C883" xr:uid="{09297EC0-4C1E-4530-9F5B-B1DB827FD87A}"/>
  <tableColumns count="3">
    <tableColumn id="1" xr3:uid="{614A035C-F2F7-4BDF-910A-5E3AA0E9FE55}" name="名称" dataDxfId="2"/>
    <tableColumn id="2" xr3:uid="{58496FDB-FC59-4652-A043-FDAF86AD658C}" name="住所" dataDxfId="1"/>
    <tableColumn id="3" xr3:uid="{EB38FB3A-ABFD-439D-9E63-C5CFDACDCE4B}" name="指定有効_x000a_終了日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A22C5-4C14-456F-BB96-92DAA5E2AAB1}">
  <dimension ref="A1:C883"/>
  <sheetViews>
    <sheetView tabSelected="1" workbookViewId="0">
      <selection activeCell="G13" sqref="G13"/>
    </sheetView>
  </sheetViews>
  <sheetFormatPr defaultRowHeight="18.75" x14ac:dyDescent="0.4"/>
  <cols>
    <col min="1" max="1" width="50.625" customWidth="1"/>
    <col min="2" max="2" width="25.625" customWidth="1"/>
    <col min="3" max="3" width="8.625" customWidth="1"/>
  </cols>
  <sheetData>
    <row r="1" spans="1:3" ht="19.5" x14ac:dyDescent="0.4">
      <c r="A1" s="6" t="s">
        <v>886</v>
      </c>
      <c r="B1" s="7"/>
      <c r="C1" s="7"/>
    </row>
    <row r="2" spans="1:3" x14ac:dyDescent="0.4">
      <c r="A2" s="4" t="s">
        <v>885</v>
      </c>
    </row>
    <row r="3" spans="1:3" ht="24.95" customHeight="1" x14ac:dyDescent="0.4">
      <c r="A3" s="5" t="s">
        <v>3</v>
      </c>
      <c r="B3" s="5" t="s">
        <v>2</v>
      </c>
      <c r="C3" s="3" t="s">
        <v>884</v>
      </c>
    </row>
    <row r="4" spans="1:3" x14ac:dyDescent="0.4">
      <c r="A4" s="1" t="s">
        <v>426</v>
      </c>
      <c r="B4" s="1" t="str">
        <f>"呉市阿賀中央4-5-23"</f>
        <v>呉市阿賀中央4-5-23</v>
      </c>
      <c r="C4" s="2">
        <v>47118</v>
      </c>
    </row>
    <row r="5" spans="1:3" x14ac:dyDescent="0.4">
      <c r="A5" s="1" t="s">
        <v>237</v>
      </c>
      <c r="B5" s="1" t="str">
        <f>"呉市阿賀中央6-1-34"</f>
        <v>呉市阿賀中央6-1-34</v>
      </c>
      <c r="C5" s="2">
        <v>46387</v>
      </c>
    </row>
    <row r="6" spans="1:3" x14ac:dyDescent="0.4">
      <c r="A6" s="1" t="s">
        <v>184</v>
      </c>
      <c r="B6" s="1" t="str">
        <f>"呉市阿賀中央6-2-11"</f>
        <v>呉市阿賀中央6-2-11</v>
      </c>
      <c r="C6" s="2">
        <v>46387</v>
      </c>
    </row>
    <row r="7" spans="1:3" x14ac:dyDescent="0.4">
      <c r="A7" s="1" t="s">
        <v>311</v>
      </c>
      <c r="B7" s="1" t="str">
        <f>"呉市阿賀中央6-2-11"</f>
        <v>呉市阿賀中央6-2-11</v>
      </c>
      <c r="C7" s="2">
        <v>46387</v>
      </c>
    </row>
    <row r="8" spans="1:3" x14ac:dyDescent="0.4">
      <c r="A8" s="1" t="s">
        <v>355</v>
      </c>
      <c r="B8" s="1" t="str">
        <f>"呉市阿賀北3-4-15"</f>
        <v>呉市阿賀北3-4-15</v>
      </c>
      <c r="C8" s="2">
        <v>47483</v>
      </c>
    </row>
    <row r="9" spans="1:3" x14ac:dyDescent="0.4">
      <c r="A9" s="1" t="s">
        <v>410</v>
      </c>
      <c r="B9" s="1" t="str">
        <f>"呉市阿賀北5-15-7"</f>
        <v>呉市阿賀北5-15-7</v>
      </c>
      <c r="C9" s="2">
        <v>46387</v>
      </c>
    </row>
    <row r="10" spans="1:3" x14ac:dyDescent="0.4">
      <c r="A10" s="1" t="s">
        <v>316</v>
      </c>
      <c r="B10" s="1" t="str">
        <f>"呉市阿賀北6-3-10-101"</f>
        <v>呉市阿賀北6-3-10-101</v>
      </c>
      <c r="C10" s="2">
        <v>46387</v>
      </c>
    </row>
    <row r="11" spans="1:3" x14ac:dyDescent="0.4">
      <c r="A11" s="1" t="s">
        <v>855</v>
      </c>
      <c r="B11" s="1" t="str">
        <f>"呉市安浦町中央1-3-25"</f>
        <v>呉市安浦町中央1-3-25</v>
      </c>
      <c r="C11" s="2">
        <v>46387</v>
      </c>
    </row>
    <row r="12" spans="1:3" x14ac:dyDescent="0.4">
      <c r="A12" s="1" t="s">
        <v>458</v>
      </c>
      <c r="B12" s="1" t="str">
        <f>"呉市安浦町中央5-1-52"</f>
        <v>呉市安浦町中央5-1-52</v>
      </c>
      <c r="C12" s="2">
        <v>46387</v>
      </c>
    </row>
    <row r="13" spans="1:3" x14ac:dyDescent="0.4">
      <c r="A13" s="1" t="s">
        <v>856</v>
      </c>
      <c r="B13" s="1" t="str">
        <f>"呉市安浦町中央5-2-35"</f>
        <v>呉市安浦町中央5-2-35</v>
      </c>
      <c r="C13" s="2">
        <v>46387</v>
      </c>
    </row>
    <row r="14" spans="1:3" x14ac:dyDescent="0.4">
      <c r="A14" s="1" t="s">
        <v>794</v>
      </c>
      <c r="B14" s="1" t="str">
        <f>"呉市音戸町鰯浜2-3-29"</f>
        <v>呉市音戸町鰯浜2-3-29</v>
      </c>
      <c r="C14" s="2">
        <v>46387</v>
      </c>
    </row>
    <row r="15" spans="1:3" x14ac:dyDescent="0.4">
      <c r="A15" s="1" t="s">
        <v>114</v>
      </c>
      <c r="B15" s="1" t="str">
        <f>"呉市音戸町引地1-4-1"</f>
        <v>呉市音戸町引地1-4-1</v>
      </c>
      <c r="C15" s="2">
        <v>46387</v>
      </c>
    </row>
    <row r="16" spans="1:3" x14ac:dyDescent="0.4">
      <c r="A16" s="1" t="s">
        <v>472</v>
      </c>
      <c r="B16" s="1" t="str">
        <f>"呉市音戸町高須3-7-2"</f>
        <v>呉市音戸町高須3-7-2</v>
      </c>
      <c r="C16" s="2">
        <v>46752</v>
      </c>
    </row>
    <row r="17" spans="1:3" x14ac:dyDescent="0.4">
      <c r="A17" s="1" t="s">
        <v>797</v>
      </c>
      <c r="B17" s="1" t="str">
        <f>"呉市音戸町高須3-7-5"</f>
        <v>呉市音戸町高須3-7-5</v>
      </c>
      <c r="C17" s="2">
        <v>46387</v>
      </c>
    </row>
    <row r="18" spans="1:3" x14ac:dyDescent="0.4">
      <c r="A18" s="1" t="s">
        <v>796</v>
      </c>
      <c r="B18" s="1" t="str">
        <f>"呉市音戸町田原2-2-12"</f>
        <v>呉市音戸町田原2-2-12</v>
      </c>
      <c r="C18" s="2">
        <v>46387</v>
      </c>
    </row>
    <row r="19" spans="1:3" x14ac:dyDescent="0.4">
      <c r="A19" s="1" t="s">
        <v>453</v>
      </c>
      <c r="B19" s="1" t="str">
        <f>"呉市音戸町藤脇2-18-8"</f>
        <v>呉市音戸町藤脇2-18-8</v>
      </c>
      <c r="C19" s="2">
        <v>46387</v>
      </c>
    </row>
    <row r="20" spans="1:3" x14ac:dyDescent="0.4">
      <c r="A20" s="1" t="s">
        <v>16</v>
      </c>
      <c r="B20" s="1" t="str">
        <f>"呉市音戸町南隠渡1-8-19-4"</f>
        <v>呉市音戸町南隠渡1-8-19-4</v>
      </c>
      <c r="C20" s="2">
        <v>46387</v>
      </c>
    </row>
    <row r="21" spans="1:3" x14ac:dyDescent="0.4">
      <c r="A21" s="1" t="s">
        <v>431</v>
      </c>
      <c r="B21" s="1" t="str">
        <f>"呉市下蒲刈町下島2119-31"</f>
        <v>呉市下蒲刈町下島2119-31</v>
      </c>
      <c r="C21" s="2">
        <v>46387</v>
      </c>
    </row>
    <row r="22" spans="1:3" x14ac:dyDescent="0.4">
      <c r="A22" s="1" t="s">
        <v>347</v>
      </c>
      <c r="B22" s="1" t="str">
        <f>"呉市下蒲刈町下島2176-4"</f>
        <v>呉市下蒲刈町下島2176-4</v>
      </c>
      <c r="C22" s="2">
        <v>46387</v>
      </c>
    </row>
    <row r="23" spans="1:3" x14ac:dyDescent="0.4">
      <c r="A23" s="1" t="s">
        <v>260</v>
      </c>
      <c r="B23" s="1" t="s">
        <v>793</v>
      </c>
      <c r="C23" s="2">
        <v>46387</v>
      </c>
    </row>
    <row r="24" spans="1:3" x14ac:dyDescent="0.4">
      <c r="A24" s="1" t="s">
        <v>423</v>
      </c>
      <c r="B24" s="1" t="str">
        <f>"呉市海岸1-4-10"</f>
        <v>呉市海岸1-4-10</v>
      </c>
      <c r="C24" s="2">
        <v>46387</v>
      </c>
    </row>
    <row r="25" spans="1:3" x14ac:dyDescent="0.4">
      <c r="A25" s="1" t="s">
        <v>318</v>
      </c>
      <c r="B25" s="1" t="str">
        <f>"呉市海岸2-17-6"</f>
        <v>呉市海岸2-17-6</v>
      </c>
      <c r="C25" s="2">
        <v>46387</v>
      </c>
    </row>
    <row r="26" spans="1:3" x14ac:dyDescent="0.4">
      <c r="A26" s="1" t="s">
        <v>444</v>
      </c>
      <c r="B26" s="1" t="str">
        <f>"呉市吉浦宮花町7-12"</f>
        <v>呉市吉浦宮花町7-12</v>
      </c>
      <c r="C26" s="2">
        <v>46387</v>
      </c>
    </row>
    <row r="27" spans="1:3" x14ac:dyDescent="0.4">
      <c r="A27" s="1" t="s">
        <v>54</v>
      </c>
      <c r="B27" s="1" t="str">
        <f>"呉市吉浦東本町1-7-7"</f>
        <v>呉市吉浦東本町1-7-7</v>
      </c>
      <c r="C27" s="2">
        <v>46387</v>
      </c>
    </row>
    <row r="28" spans="1:3" x14ac:dyDescent="0.4">
      <c r="A28" s="1" t="s">
        <v>230</v>
      </c>
      <c r="B28" s="1" t="str">
        <f>"呉市吉浦本町1-2-6"</f>
        <v>呉市吉浦本町1-2-6</v>
      </c>
      <c r="C28" s="2">
        <v>46387</v>
      </c>
    </row>
    <row r="29" spans="1:3" x14ac:dyDescent="0.4">
      <c r="A29" s="1" t="s">
        <v>222</v>
      </c>
      <c r="B29" s="1" t="str">
        <f>"呉市宮原2-4-25"</f>
        <v>呉市宮原2-4-25</v>
      </c>
      <c r="C29" s="2">
        <v>47118</v>
      </c>
    </row>
    <row r="30" spans="1:3" x14ac:dyDescent="0.4">
      <c r="A30" s="1" t="s">
        <v>131</v>
      </c>
      <c r="B30" s="1" t="str">
        <f>"呉市宮原3-9-21"</f>
        <v>呉市宮原3-9-21</v>
      </c>
      <c r="C30" s="2">
        <v>46387</v>
      </c>
    </row>
    <row r="31" spans="1:3" x14ac:dyDescent="0.4">
      <c r="A31" s="1" t="s">
        <v>290</v>
      </c>
      <c r="B31" s="1" t="str">
        <f>"呉市宮原5-5-12"</f>
        <v>呉市宮原5-5-12</v>
      </c>
      <c r="C31" s="2">
        <v>46387</v>
      </c>
    </row>
    <row r="32" spans="1:3" x14ac:dyDescent="0.4">
      <c r="A32" s="1" t="s">
        <v>428</v>
      </c>
      <c r="B32" s="1" t="str">
        <f>"呉市宮原5-5-2"</f>
        <v>呉市宮原5-5-2</v>
      </c>
      <c r="C32" s="2">
        <v>46387</v>
      </c>
    </row>
    <row r="33" spans="1:3" x14ac:dyDescent="0.4">
      <c r="A33" s="1" t="s">
        <v>457</v>
      </c>
      <c r="B33" s="1" t="str">
        <f>"呉市郷原町1664-1"</f>
        <v>呉市郷原町1664-1</v>
      </c>
      <c r="C33" s="2">
        <v>47118</v>
      </c>
    </row>
    <row r="34" spans="1:3" x14ac:dyDescent="0.4">
      <c r="A34" s="1" t="s">
        <v>334</v>
      </c>
      <c r="B34" s="1" t="str">
        <f>"呉市郷原町2379-38"</f>
        <v>呉市郷原町2379-38</v>
      </c>
      <c r="C34" s="2">
        <v>46752</v>
      </c>
    </row>
    <row r="35" spans="1:3" x14ac:dyDescent="0.4">
      <c r="A35" s="1" t="s">
        <v>50</v>
      </c>
      <c r="B35" s="1" t="str">
        <f>"呉市警固屋4-2-30"</f>
        <v>呉市警固屋4-2-30</v>
      </c>
      <c r="C35" s="2">
        <v>46387</v>
      </c>
    </row>
    <row r="36" spans="1:3" x14ac:dyDescent="0.4">
      <c r="A36" s="1" t="s">
        <v>417</v>
      </c>
      <c r="B36" s="1" t="str">
        <f>"呉市広駅前1-2-19"</f>
        <v>呉市広駅前1-2-19</v>
      </c>
      <c r="C36" s="2">
        <v>46387</v>
      </c>
    </row>
    <row r="37" spans="1:3" x14ac:dyDescent="0.4">
      <c r="A37" s="1" t="s">
        <v>127</v>
      </c>
      <c r="B37" s="1" t="str">
        <f>"呉市広駅前1-2-45"</f>
        <v>呉市広駅前1-2-45</v>
      </c>
      <c r="C37" s="2">
        <v>46387</v>
      </c>
    </row>
    <row r="38" spans="1:3" x14ac:dyDescent="0.4">
      <c r="A38" s="1" t="s">
        <v>449</v>
      </c>
      <c r="B38" s="1" t="str">
        <f>"呉市広駅前1-4-64"</f>
        <v>呉市広駅前1-4-64</v>
      </c>
      <c r="C38" s="2">
        <v>46387</v>
      </c>
    </row>
    <row r="39" spans="1:3" x14ac:dyDescent="0.4">
      <c r="A39" s="1" t="s">
        <v>464</v>
      </c>
      <c r="B39" s="1" t="str">
        <f>"呉市広古新開1-1-32"</f>
        <v>呉市広古新開1-1-32</v>
      </c>
      <c r="C39" s="2">
        <v>46022</v>
      </c>
    </row>
    <row r="40" spans="1:3" x14ac:dyDescent="0.4">
      <c r="A40" s="1" t="s">
        <v>213</v>
      </c>
      <c r="B40" s="1" t="str">
        <f>"呉市広古新開1-3-13"</f>
        <v>呉市広古新開1-3-13</v>
      </c>
      <c r="C40" s="2">
        <v>46387</v>
      </c>
    </row>
    <row r="41" spans="1:3" x14ac:dyDescent="0.4">
      <c r="A41" s="1" t="s">
        <v>440</v>
      </c>
      <c r="B41" s="1" t="str">
        <f>"呉市広古新開2-5-23"</f>
        <v>呉市広古新開2-5-23</v>
      </c>
      <c r="C41" s="2">
        <v>46387</v>
      </c>
    </row>
    <row r="42" spans="1:3" x14ac:dyDescent="0.4">
      <c r="A42" s="1" t="s">
        <v>454</v>
      </c>
      <c r="B42" s="1" t="str">
        <f>"呉市広古新開7-23-9"</f>
        <v>呉市広古新開7-23-9</v>
      </c>
      <c r="C42" s="2">
        <v>46387</v>
      </c>
    </row>
    <row r="43" spans="1:3" x14ac:dyDescent="0.4">
      <c r="A43" s="1" t="s">
        <v>465</v>
      </c>
      <c r="B43" s="1" t="str">
        <f>"呉市広古新開7-24-3"</f>
        <v>呉市広古新開7-24-3</v>
      </c>
      <c r="C43" s="2">
        <v>46022</v>
      </c>
    </row>
    <row r="44" spans="1:3" x14ac:dyDescent="0.4">
      <c r="A44" s="1" t="s">
        <v>204</v>
      </c>
      <c r="B44" s="1" t="str">
        <f>"呉市広古新開7-40-1"</f>
        <v>呉市広古新開7-40-1</v>
      </c>
      <c r="C44" s="2">
        <v>46387</v>
      </c>
    </row>
    <row r="45" spans="1:3" x14ac:dyDescent="0.4">
      <c r="A45" s="1" t="s">
        <v>175</v>
      </c>
      <c r="B45" s="1" t="str">
        <f>"呉市広古新開8-32-4"</f>
        <v>呉市広古新開8-32-4</v>
      </c>
      <c r="C45" s="2">
        <v>46387</v>
      </c>
    </row>
    <row r="46" spans="1:3" x14ac:dyDescent="0.4">
      <c r="A46" s="1" t="s">
        <v>435</v>
      </c>
      <c r="B46" s="1" t="str">
        <f>"呉市広多賀谷1-2-26"</f>
        <v>呉市広多賀谷1-2-26</v>
      </c>
      <c r="C46" s="2">
        <v>46387</v>
      </c>
    </row>
    <row r="47" spans="1:3" x14ac:dyDescent="0.4">
      <c r="A47" s="1" t="s">
        <v>141</v>
      </c>
      <c r="B47" s="1" t="str">
        <f>"呉市広多賀谷1-2-61"</f>
        <v>呉市広多賀谷1-2-61</v>
      </c>
      <c r="C47" s="2">
        <v>46752</v>
      </c>
    </row>
    <row r="48" spans="1:3" x14ac:dyDescent="0.4">
      <c r="A48" s="1" t="s">
        <v>192</v>
      </c>
      <c r="B48" s="1" t="str">
        <f>"呉市広多賀谷1-3-40"</f>
        <v>呉市広多賀谷1-3-40</v>
      </c>
      <c r="C48" s="2">
        <v>46387</v>
      </c>
    </row>
    <row r="49" spans="1:3" x14ac:dyDescent="0.4">
      <c r="A49" s="1" t="s">
        <v>272</v>
      </c>
      <c r="B49" s="1" t="str">
        <f>"呉市広大新開1-2-3-102"</f>
        <v>呉市広大新開1-2-3-102</v>
      </c>
      <c r="C49" s="2">
        <v>46387</v>
      </c>
    </row>
    <row r="50" spans="1:3" x14ac:dyDescent="0.4">
      <c r="A50" s="1" t="s">
        <v>461</v>
      </c>
      <c r="B50" s="1" t="str">
        <f>"呉市広大新開1-4-18"</f>
        <v>呉市広大新開1-4-18</v>
      </c>
      <c r="C50" s="2">
        <v>45657</v>
      </c>
    </row>
    <row r="51" spans="1:3" x14ac:dyDescent="0.4">
      <c r="A51" s="1" t="s">
        <v>366</v>
      </c>
      <c r="B51" s="1" t="str">
        <f>"呉市広大新開1-4-2"</f>
        <v>呉市広大新開1-4-2</v>
      </c>
      <c r="C51" s="2">
        <v>46387</v>
      </c>
    </row>
    <row r="52" spans="1:3" x14ac:dyDescent="0.4">
      <c r="A52" s="1" t="s">
        <v>404</v>
      </c>
      <c r="B52" s="1" t="str">
        <f>"呉市広大新開2-5-23"</f>
        <v>呉市広大新開2-5-23</v>
      </c>
      <c r="C52" s="2">
        <v>46387</v>
      </c>
    </row>
    <row r="53" spans="1:3" x14ac:dyDescent="0.4">
      <c r="A53" s="1" t="s">
        <v>41</v>
      </c>
      <c r="B53" s="1" t="str">
        <f>"呉市広大新開3-2-18"</f>
        <v>呉市広大新開3-2-18</v>
      </c>
      <c r="C53" s="2">
        <v>46387</v>
      </c>
    </row>
    <row r="54" spans="1:3" x14ac:dyDescent="0.4">
      <c r="A54" s="1" t="s">
        <v>391</v>
      </c>
      <c r="B54" s="1" t="str">
        <f>"呉市広中町11-17"</f>
        <v>呉市広中町11-17</v>
      </c>
      <c r="C54" s="2">
        <v>46387</v>
      </c>
    </row>
    <row r="55" spans="1:3" x14ac:dyDescent="0.4">
      <c r="A55" s="1" t="s">
        <v>329</v>
      </c>
      <c r="B55" s="1" t="str">
        <f>"呉市広中町15-26"</f>
        <v>呉市広中町15-26</v>
      </c>
      <c r="C55" s="2">
        <v>46387</v>
      </c>
    </row>
    <row r="56" spans="1:3" x14ac:dyDescent="0.4">
      <c r="A56" s="1" t="s">
        <v>442</v>
      </c>
      <c r="B56" s="1" t="str">
        <f>"呉市広白石1-3-35"</f>
        <v>呉市広白石1-3-35</v>
      </c>
      <c r="C56" s="2">
        <v>46387</v>
      </c>
    </row>
    <row r="57" spans="1:3" x14ac:dyDescent="0.4">
      <c r="A57" s="1" t="s">
        <v>220</v>
      </c>
      <c r="B57" s="1" t="str">
        <f>"呉市広本町1-11-34"</f>
        <v>呉市広本町1-11-34</v>
      </c>
      <c r="C57" s="2">
        <v>46387</v>
      </c>
    </row>
    <row r="58" spans="1:3" x14ac:dyDescent="0.4">
      <c r="A58" s="1" t="s">
        <v>261</v>
      </c>
      <c r="B58" s="1" t="str">
        <f>"呉市広本町2-15-6"</f>
        <v>呉市広本町2-15-6</v>
      </c>
      <c r="C58" s="2">
        <v>46022</v>
      </c>
    </row>
    <row r="59" spans="1:3" x14ac:dyDescent="0.4">
      <c r="A59" s="1" t="s">
        <v>176</v>
      </c>
      <c r="B59" s="1" t="str">
        <f>"呉市広本町3-12-11"</f>
        <v>呉市広本町3-12-11</v>
      </c>
      <c r="C59" s="2">
        <v>46022</v>
      </c>
    </row>
    <row r="60" spans="1:3" x14ac:dyDescent="0.4">
      <c r="A60" s="1" t="s">
        <v>46</v>
      </c>
      <c r="B60" s="1" t="str">
        <f>"呉市広本町3-13-71"</f>
        <v>呉市広本町3-13-71</v>
      </c>
      <c r="C60" s="2">
        <v>46022</v>
      </c>
    </row>
    <row r="61" spans="1:3" x14ac:dyDescent="0.4">
      <c r="A61" s="1" t="s">
        <v>443</v>
      </c>
      <c r="B61" s="1" t="str">
        <f>"呉市広本町3-21-1"</f>
        <v>呉市広本町3-21-1</v>
      </c>
      <c r="C61" s="2">
        <v>46387</v>
      </c>
    </row>
    <row r="62" spans="1:3" x14ac:dyDescent="0.4">
      <c r="A62" s="1" t="s">
        <v>292</v>
      </c>
      <c r="B62" s="1" t="str">
        <f>"呉市三条1-9-2"</f>
        <v>呉市三条1-9-2</v>
      </c>
      <c r="C62" s="2">
        <v>46387</v>
      </c>
    </row>
    <row r="63" spans="1:3" x14ac:dyDescent="0.4">
      <c r="A63" s="1" t="s">
        <v>351</v>
      </c>
      <c r="B63" s="1" t="str">
        <f>"呉市三条2-12-6"</f>
        <v>呉市三条2-12-6</v>
      </c>
      <c r="C63" s="2">
        <v>46387</v>
      </c>
    </row>
    <row r="64" spans="1:3" x14ac:dyDescent="0.4">
      <c r="A64" s="1" t="s">
        <v>196</v>
      </c>
      <c r="B64" s="1" t="str">
        <f>"呉市三条2-13-6"</f>
        <v>呉市三条2-13-6</v>
      </c>
      <c r="C64" s="2">
        <v>46387</v>
      </c>
    </row>
    <row r="65" spans="1:3" x14ac:dyDescent="0.4">
      <c r="A65" s="1" t="s">
        <v>476</v>
      </c>
      <c r="B65" s="1" t="str">
        <f>"呉市三条2-4-7"</f>
        <v>呉市三条2-4-7</v>
      </c>
      <c r="C65" s="2">
        <v>47118</v>
      </c>
    </row>
    <row r="66" spans="1:3" x14ac:dyDescent="0.4">
      <c r="A66" s="1" t="s">
        <v>430</v>
      </c>
      <c r="B66" s="1" t="str">
        <f>"呉市三条3-2-11"</f>
        <v>呉市三条3-2-11</v>
      </c>
      <c r="C66" s="2">
        <v>46387</v>
      </c>
    </row>
    <row r="67" spans="1:3" x14ac:dyDescent="0.4">
      <c r="A67" s="1" t="s">
        <v>217</v>
      </c>
      <c r="B67" s="1" t="str">
        <f>"呉市三条3-5-14"</f>
        <v>呉市三条3-5-14</v>
      </c>
      <c r="C67" s="2">
        <v>46387</v>
      </c>
    </row>
    <row r="68" spans="1:3" x14ac:dyDescent="0.4">
      <c r="A68" s="1" t="s">
        <v>422</v>
      </c>
      <c r="B68" s="1" t="str">
        <f>"呉市焼山此原町21-2"</f>
        <v>呉市焼山此原町21-2</v>
      </c>
      <c r="C68" s="2">
        <v>46387</v>
      </c>
    </row>
    <row r="69" spans="1:3" x14ac:dyDescent="0.4">
      <c r="A69" s="1" t="s">
        <v>425</v>
      </c>
      <c r="B69" s="1" t="str">
        <f>"呉市焼山西2-1-34"</f>
        <v>呉市焼山西2-1-34</v>
      </c>
      <c r="C69" s="2">
        <v>46387</v>
      </c>
    </row>
    <row r="70" spans="1:3" x14ac:dyDescent="0.4">
      <c r="A70" s="1" t="s">
        <v>128</v>
      </c>
      <c r="B70" s="1" t="str">
        <f>"呉市焼山中央1-10-8-104"</f>
        <v>呉市焼山中央1-10-8-104</v>
      </c>
      <c r="C70" s="2">
        <v>46387</v>
      </c>
    </row>
    <row r="71" spans="1:3" x14ac:dyDescent="0.4">
      <c r="A71" s="1" t="s">
        <v>475</v>
      </c>
      <c r="B71" s="1" t="str">
        <f>"呉市焼山中央1-13-10"</f>
        <v>呉市焼山中央1-13-10</v>
      </c>
      <c r="C71" s="2">
        <v>47118</v>
      </c>
    </row>
    <row r="72" spans="1:3" x14ac:dyDescent="0.4">
      <c r="A72" s="1" t="s">
        <v>418</v>
      </c>
      <c r="B72" s="1" t="str">
        <f>"呉市焼山中央1-2-11"</f>
        <v>呉市焼山中央1-2-11</v>
      </c>
      <c r="C72" s="2">
        <v>46387</v>
      </c>
    </row>
    <row r="73" spans="1:3" x14ac:dyDescent="0.4">
      <c r="A73" s="1" t="s">
        <v>333</v>
      </c>
      <c r="B73" s="1" t="str">
        <f>"呉市焼山中央2-1-21"</f>
        <v>呉市焼山中央2-1-21</v>
      </c>
      <c r="C73" s="2">
        <v>46022</v>
      </c>
    </row>
    <row r="74" spans="1:3" x14ac:dyDescent="0.4">
      <c r="A74" s="1" t="s">
        <v>434</v>
      </c>
      <c r="B74" s="1" t="str">
        <f>"呉市焼山中央2-5-9"</f>
        <v>呉市焼山中央2-5-9</v>
      </c>
      <c r="C74" s="2">
        <v>46387</v>
      </c>
    </row>
    <row r="75" spans="1:3" x14ac:dyDescent="0.4">
      <c r="A75" s="1" t="s">
        <v>424</v>
      </c>
      <c r="B75" s="1" t="str">
        <f>"呉市焼山中央2-6-37"</f>
        <v>呉市焼山中央2-6-37</v>
      </c>
      <c r="C75" s="2">
        <v>46387</v>
      </c>
    </row>
    <row r="76" spans="1:3" x14ac:dyDescent="0.4">
      <c r="A76" s="1" t="s">
        <v>448</v>
      </c>
      <c r="B76" s="1" t="str">
        <f>"呉市焼山中央2-9-22"</f>
        <v>呉市焼山中央2-9-22</v>
      </c>
      <c r="C76" s="2">
        <v>46387</v>
      </c>
    </row>
    <row r="77" spans="1:3" x14ac:dyDescent="0.4">
      <c r="A77" s="1" t="s">
        <v>446</v>
      </c>
      <c r="B77" s="1" t="str">
        <f>"呉市焼山中央2-9-40"</f>
        <v>呉市焼山中央2-9-40</v>
      </c>
      <c r="C77" s="2">
        <v>46387</v>
      </c>
    </row>
    <row r="78" spans="1:3" x14ac:dyDescent="0.4">
      <c r="A78" s="1" t="s">
        <v>328</v>
      </c>
      <c r="B78" s="1" t="str">
        <f>"呉市焼山北1-7-7"</f>
        <v>呉市焼山北1-7-7</v>
      </c>
      <c r="C78" s="2">
        <v>46387</v>
      </c>
    </row>
    <row r="79" spans="1:3" x14ac:dyDescent="0.4">
      <c r="A79" s="1" t="s">
        <v>298</v>
      </c>
      <c r="B79" s="1" t="str">
        <f>"呉市焼山本庄4-8-13"</f>
        <v>呉市焼山本庄4-8-13</v>
      </c>
      <c r="C79" s="2">
        <v>46387</v>
      </c>
    </row>
    <row r="80" spans="1:3" x14ac:dyDescent="0.4">
      <c r="A80" s="1" t="s">
        <v>466</v>
      </c>
      <c r="B80" s="1" t="str">
        <f>"呉市神山3-3-5"</f>
        <v>呉市神山3-3-5</v>
      </c>
      <c r="C80" s="2">
        <v>46022</v>
      </c>
    </row>
    <row r="81" spans="1:3" x14ac:dyDescent="0.4">
      <c r="A81" s="1" t="s">
        <v>463</v>
      </c>
      <c r="B81" s="1" t="s">
        <v>133</v>
      </c>
      <c r="C81" s="2">
        <v>46022</v>
      </c>
    </row>
    <row r="82" spans="1:3" x14ac:dyDescent="0.4">
      <c r="A82" s="1" t="s">
        <v>447</v>
      </c>
      <c r="B82" s="1" t="str">
        <f>"呉市仁方本町2-9-25"</f>
        <v>呉市仁方本町2-9-25</v>
      </c>
      <c r="C82" s="2">
        <v>46387</v>
      </c>
    </row>
    <row r="83" spans="1:3" x14ac:dyDescent="0.4">
      <c r="A83" s="1" t="s">
        <v>48</v>
      </c>
      <c r="B83" s="1" t="str">
        <f>"呉市西中央1-3-10"</f>
        <v>呉市西中央1-3-10</v>
      </c>
      <c r="C83" s="2">
        <v>46387</v>
      </c>
    </row>
    <row r="84" spans="1:3" x14ac:dyDescent="0.4">
      <c r="A84" s="1" t="s">
        <v>349</v>
      </c>
      <c r="B84" s="1" t="str">
        <f>"呉市西中央2-1-12"</f>
        <v>呉市西中央2-1-12</v>
      </c>
      <c r="C84" s="2">
        <v>46387</v>
      </c>
    </row>
    <row r="85" spans="1:3" x14ac:dyDescent="0.4">
      <c r="A85" s="1" t="s">
        <v>470</v>
      </c>
      <c r="B85" s="1" t="str">
        <f>"呉市西中央2-1-6"</f>
        <v>呉市西中央2-1-6</v>
      </c>
      <c r="C85" s="2">
        <v>46752</v>
      </c>
    </row>
    <row r="86" spans="1:3" x14ac:dyDescent="0.4">
      <c r="A86" s="1" t="s">
        <v>451</v>
      </c>
      <c r="B86" s="1" t="str">
        <f>"呉市西中央3-2-1"</f>
        <v>呉市西中央3-2-1</v>
      </c>
      <c r="C86" s="2">
        <v>46387</v>
      </c>
    </row>
    <row r="87" spans="1:3" x14ac:dyDescent="0.4">
      <c r="A87" s="1" t="s">
        <v>460</v>
      </c>
      <c r="B87" s="1" t="str">
        <f>"呉市西中央3-2-2"</f>
        <v>呉市西中央3-2-2</v>
      </c>
      <c r="C87" s="2">
        <v>45657</v>
      </c>
    </row>
    <row r="88" spans="1:3" x14ac:dyDescent="0.4">
      <c r="A88" s="1" t="s">
        <v>473</v>
      </c>
      <c r="B88" s="1" t="str">
        <f>"呉市西中央3-7-34"</f>
        <v>呉市西中央3-7-34</v>
      </c>
      <c r="C88" s="2">
        <v>47118</v>
      </c>
    </row>
    <row r="89" spans="1:3" x14ac:dyDescent="0.4">
      <c r="A89" s="1" t="s">
        <v>403</v>
      </c>
      <c r="B89" s="1" t="str">
        <f>"呉市西畑町17-4"</f>
        <v>呉市西畑町17-4</v>
      </c>
      <c r="C89" s="2">
        <v>46387</v>
      </c>
    </row>
    <row r="90" spans="1:3" x14ac:dyDescent="0.4">
      <c r="A90" s="1" t="s">
        <v>78</v>
      </c>
      <c r="B90" s="1" t="str">
        <f>"呉市西畑町2-12"</f>
        <v>呉市西畑町2-12</v>
      </c>
      <c r="C90" s="2">
        <v>46387</v>
      </c>
    </row>
    <row r="91" spans="1:3" x14ac:dyDescent="0.4">
      <c r="A91" s="1" t="s">
        <v>474</v>
      </c>
      <c r="B91" s="1" t="str">
        <f>"呉市川尻町西2-12-34"</f>
        <v>呉市川尻町西2-12-34</v>
      </c>
      <c r="C91" s="2">
        <v>47118</v>
      </c>
    </row>
    <row r="92" spans="1:3" x14ac:dyDescent="0.4">
      <c r="A92" s="1" t="s">
        <v>121</v>
      </c>
      <c r="B92" s="1" t="str">
        <f>"呉市川尻町西2-4-41"</f>
        <v>呉市川尻町西2-4-41</v>
      </c>
      <c r="C92" s="2">
        <v>46387</v>
      </c>
    </row>
    <row r="93" spans="1:3" x14ac:dyDescent="0.4">
      <c r="A93" s="1" t="s">
        <v>173</v>
      </c>
      <c r="B93" s="1" t="str">
        <f>"呉市川尻町東1-10-13"</f>
        <v>呉市川尻町東1-10-13</v>
      </c>
      <c r="C93" s="2">
        <v>47118</v>
      </c>
    </row>
    <row r="94" spans="1:3" x14ac:dyDescent="0.4">
      <c r="A94" s="1" t="s">
        <v>429</v>
      </c>
      <c r="B94" s="1" t="str">
        <f>"呉市川尻町東1-21-2"</f>
        <v>呉市川尻町東1-21-2</v>
      </c>
      <c r="C94" s="2">
        <v>46387</v>
      </c>
    </row>
    <row r="95" spans="1:3" x14ac:dyDescent="0.4">
      <c r="A95" s="1" t="s">
        <v>284</v>
      </c>
      <c r="B95" s="1" t="str">
        <f>"呉市倉橋町7382-2"</f>
        <v>呉市倉橋町7382-2</v>
      </c>
      <c r="C95" s="2">
        <v>46387</v>
      </c>
    </row>
    <row r="96" spans="1:3" x14ac:dyDescent="0.4">
      <c r="A96" s="1" t="s">
        <v>289</v>
      </c>
      <c r="B96" s="1" t="str">
        <f>"呉市中央1-3-1-101"</f>
        <v>呉市中央1-3-1-101</v>
      </c>
      <c r="C96" s="2">
        <v>46022</v>
      </c>
    </row>
    <row r="97" spans="1:3" x14ac:dyDescent="0.4">
      <c r="A97" s="1" t="s">
        <v>439</v>
      </c>
      <c r="B97" s="1" t="str">
        <f>"呉市中央1-5-15"</f>
        <v>呉市中央1-5-15</v>
      </c>
      <c r="C97" s="2">
        <v>46387</v>
      </c>
    </row>
    <row r="98" spans="1:3" x14ac:dyDescent="0.4">
      <c r="A98" s="1" t="s">
        <v>467</v>
      </c>
      <c r="B98" s="1" t="str">
        <f>"呉市中央2-6-10"</f>
        <v>呉市中央2-6-10</v>
      </c>
      <c r="C98" s="2">
        <v>46022</v>
      </c>
    </row>
    <row r="99" spans="1:3" x14ac:dyDescent="0.4">
      <c r="A99" s="1" t="s">
        <v>469</v>
      </c>
      <c r="B99" s="1" t="str">
        <f>"呉市中央2-6-7"</f>
        <v>呉市中央2-6-7</v>
      </c>
      <c r="C99" s="2">
        <v>46022</v>
      </c>
    </row>
    <row r="100" spans="1:3" x14ac:dyDescent="0.4">
      <c r="A100" s="1" t="s">
        <v>420</v>
      </c>
      <c r="B100" s="1" t="str">
        <f>"呉市中央3-2-1"</f>
        <v>呉市中央3-2-1</v>
      </c>
      <c r="C100" s="2">
        <v>46387</v>
      </c>
    </row>
    <row r="101" spans="1:3" x14ac:dyDescent="0.4">
      <c r="A101" s="1" t="s">
        <v>157</v>
      </c>
      <c r="B101" s="1" t="str">
        <f>"呉市中央6-5-18"</f>
        <v>呉市中央6-5-18</v>
      </c>
      <c r="C101" s="2">
        <v>46387</v>
      </c>
    </row>
    <row r="102" spans="1:3" x14ac:dyDescent="0.4">
      <c r="A102" s="1" t="s">
        <v>337</v>
      </c>
      <c r="B102" s="1" t="str">
        <f>"呉市中通1-3-12"</f>
        <v>呉市中通1-3-12</v>
      </c>
      <c r="C102" s="2">
        <v>46387</v>
      </c>
    </row>
    <row r="103" spans="1:3" x14ac:dyDescent="0.4">
      <c r="A103" s="1" t="s">
        <v>374</v>
      </c>
      <c r="B103" s="1" t="str">
        <f>"呉市中通1-3-19"</f>
        <v>呉市中通1-3-19</v>
      </c>
      <c r="C103" s="2">
        <v>46387</v>
      </c>
    </row>
    <row r="104" spans="1:3" x14ac:dyDescent="0.4">
      <c r="A104" s="1" t="s">
        <v>450</v>
      </c>
      <c r="B104" s="1" t="str">
        <f>"呉市中通2-8-18"</f>
        <v>呉市中通2-8-18</v>
      </c>
      <c r="C104" s="2">
        <v>46387</v>
      </c>
    </row>
    <row r="105" spans="1:3" x14ac:dyDescent="0.4">
      <c r="A105" s="1" t="s">
        <v>174</v>
      </c>
      <c r="B105" s="1" t="str">
        <f>"呉市中通3-1-17"</f>
        <v>呉市中通3-1-17</v>
      </c>
      <c r="C105" s="2">
        <v>46387</v>
      </c>
    </row>
    <row r="106" spans="1:3" x14ac:dyDescent="0.4">
      <c r="A106" s="1" t="s">
        <v>244</v>
      </c>
      <c r="B106" s="1" t="str">
        <f>"呉市中通3-3-25"</f>
        <v>呉市中通3-3-25</v>
      </c>
      <c r="C106" s="2">
        <v>46387</v>
      </c>
    </row>
    <row r="107" spans="1:3" x14ac:dyDescent="0.4">
      <c r="A107" s="1" t="s">
        <v>436</v>
      </c>
      <c r="B107" s="1" t="str">
        <f>"呉市中通4-4-14"</f>
        <v>呉市中通4-4-14</v>
      </c>
      <c r="C107" s="2">
        <v>46387</v>
      </c>
    </row>
    <row r="108" spans="1:3" x14ac:dyDescent="0.4">
      <c r="A108" s="1" t="s">
        <v>60</v>
      </c>
      <c r="B108" s="1" t="str">
        <f>"呉市中通4-6-5"</f>
        <v>呉市中通4-6-5</v>
      </c>
      <c r="C108" s="2">
        <v>47483</v>
      </c>
    </row>
    <row r="109" spans="1:3" x14ac:dyDescent="0.4">
      <c r="A109" s="1" t="s">
        <v>72</v>
      </c>
      <c r="B109" s="1" t="str">
        <f>"呉市朝日町1-1"</f>
        <v>呉市朝日町1-1</v>
      </c>
      <c r="C109" s="2">
        <v>46387</v>
      </c>
    </row>
    <row r="110" spans="1:3" x14ac:dyDescent="0.4">
      <c r="A110" s="1" t="s">
        <v>199</v>
      </c>
      <c r="B110" s="1" t="str">
        <f>"呉市朝日町14-6"</f>
        <v>呉市朝日町14-6</v>
      </c>
      <c r="C110" s="2">
        <v>46387</v>
      </c>
    </row>
    <row r="111" spans="1:3" x14ac:dyDescent="0.4">
      <c r="A111" s="1" t="s">
        <v>433</v>
      </c>
      <c r="B111" s="1" t="str">
        <f>"呉市天応南町1934-1"</f>
        <v>呉市天応南町1934-1</v>
      </c>
      <c r="C111" s="2">
        <v>46387</v>
      </c>
    </row>
    <row r="112" spans="1:3" x14ac:dyDescent="0.4">
      <c r="A112" s="1" t="s">
        <v>194</v>
      </c>
      <c r="B112" s="1" t="str">
        <f>"呉市東中央1-6-15"</f>
        <v>呉市東中央1-6-15</v>
      </c>
      <c r="C112" s="2">
        <v>46387</v>
      </c>
    </row>
    <row r="113" spans="1:3" x14ac:dyDescent="0.4">
      <c r="A113" s="1" t="s">
        <v>357</v>
      </c>
      <c r="B113" s="1" t="str">
        <f>"呉市東中央2-8-17"</f>
        <v>呉市東中央2-8-17</v>
      </c>
      <c r="C113" s="2">
        <v>46387</v>
      </c>
    </row>
    <row r="114" spans="1:3" x14ac:dyDescent="0.4">
      <c r="A114" s="1" t="s">
        <v>401</v>
      </c>
      <c r="B114" s="1" t="str">
        <f>"呉市東中央4-6-1"</f>
        <v>呉市東中央4-6-1</v>
      </c>
      <c r="C114" s="2">
        <v>46387</v>
      </c>
    </row>
    <row r="115" spans="1:3" x14ac:dyDescent="0.4">
      <c r="A115" s="1" t="s">
        <v>406</v>
      </c>
      <c r="B115" s="1" t="str">
        <f>"呉市東片山町10-15"</f>
        <v>呉市東片山町10-15</v>
      </c>
      <c r="C115" s="2">
        <v>46387</v>
      </c>
    </row>
    <row r="116" spans="1:3" x14ac:dyDescent="0.4">
      <c r="A116" s="1" t="s">
        <v>365</v>
      </c>
      <c r="B116" s="1" t="str">
        <f>"呉市伏原1-3-10"</f>
        <v>呉市伏原1-3-10</v>
      </c>
      <c r="C116" s="2">
        <v>47118</v>
      </c>
    </row>
    <row r="117" spans="1:3" x14ac:dyDescent="0.4">
      <c r="A117" s="1" t="s">
        <v>313</v>
      </c>
      <c r="B117" s="1" t="str">
        <f>"呉市伏原2-8-21"</f>
        <v>呉市伏原2-8-21</v>
      </c>
      <c r="C117" s="2">
        <v>46387</v>
      </c>
    </row>
    <row r="118" spans="1:3" x14ac:dyDescent="0.4">
      <c r="A118" s="1" t="s">
        <v>73</v>
      </c>
      <c r="B118" s="1" t="str">
        <f>"呉市宝町1-16"</f>
        <v>呉市宝町1-16</v>
      </c>
      <c r="C118" s="2">
        <v>46387</v>
      </c>
    </row>
    <row r="119" spans="1:3" x14ac:dyDescent="0.4">
      <c r="A119" s="1" t="s">
        <v>383</v>
      </c>
      <c r="B119" s="1" t="str">
        <f>"呉市宝町2-23-1"</f>
        <v>呉市宝町2-23-1</v>
      </c>
      <c r="C119" s="2">
        <v>46022</v>
      </c>
    </row>
    <row r="120" spans="1:3" x14ac:dyDescent="0.4">
      <c r="A120" s="1" t="s">
        <v>368</v>
      </c>
      <c r="B120" s="1" t="str">
        <f>"呉市宝町3-16"</f>
        <v>呉市宝町3-16</v>
      </c>
      <c r="C120" s="2">
        <v>46387</v>
      </c>
    </row>
    <row r="121" spans="1:3" x14ac:dyDescent="0.4">
      <c r="A121" s="1" t="s">
        <v>255</v>
      </c>
      <c r="B121" s="1" t="str">
        <f>"呉市宝町5-10　ゆめタウン呉"</f>
        <v>呉市宝町5-10　ゆめタウン呉</v>
      </c>
      <c r="C121" s="2">
        <v>46752</v>
      </c>
    </row>
    <row r="122" spans="1:3" x14ac:dyDescent="0.4">
      <c r="A122" s="1" t="s">
        <v>399</v>
      </c>
      <c r="B122" s="1" t="str">
        <f>"呉市豊町大長5008-2"</f>
        <v>呉市豊町大長5008-2</v>
      </c>
      <c r="C122" s="2">
        <v>46387</v>
      </c>
    </row>
    <row r="123" spans="1:3" x14ac:dyDescent="0.4">
      <c r="A123" s="1" t="s">
        <v>437</v>
      </c>
      <c r="B123" s="1" t="s">
        <v>150</v>
      </c>
      <c r="C123" s="2">
        <v>46387</v>
      </c>
    </row>
    <row r="124" spans="1:3" x14ac:dyDescent="0.4">
      <c r="A124" s="1" t="s">
        <v>159</v>
      </c>
      <c r="B124" s="1" t="str">
        <f>"呉市本町9-8"</f>
        <v>呉市本町9-8</v>
      </c>
      <c r="C124" s="2">
        <v>46387</v>
      </c>
    </row>
    <row r="125" spans="1:3" x14ac:dyDescent="0.4">
      <c r="A125" s="1" t="s">
        <v>179</v>
      </c>
      <c r="B125" s="1" t="str">
        <f>"呉市本通1-5-11"</f>
        <v>呉市本通1-5-11</v>
      </c>
      <c r="C125" s="2">
        <v>46387</v>
      </c>
    </row>
    <row r="126" spans="1:3" x14ac:dyDescent="0.4">
      <c r="A126" s="1" t="s">
        <v>399</v>
      </c>
      <c r="B126" s="1" t="str">
        <f>"呉市本通2-3-15"</f>
        <v>呉市本通2-3-15</v>
      </c>
      <c r="C126" s="2">
        <v>46387</v>
      </c>
    </row>
    <row r="127" spans="1:3" x14ac:dyDescent="0.4">
      <c r="A127" s="1" t="s">
        <v>330</v>
      </c>
      <c r="B127" s="1" t="str">
        <f>"呉市本通2-6-1"</f>
        <v>呉市本通2-6-1</v>
      </c>
      <c r="C127" s="2">
        <v>47483</v>
      </c>
    </row>
    <row r="128" spans="1:3" x14ac:dyDescent="0.4">
      <c r="A128" s="1" t="s">
        <v>413</v>
      </c>
      <c r="B128" s="1" t="str">
        <f>"呉市本通3-4-5"</f>
        <v>呉市本通3-4-5</v>
      </c>
      <c r="C128" s="2">
        <v>46387</v>
      </c>
    </row>
    <row r="129" spans="1:3" x14ac:dyDescent="0.4">
      <c r="A129" s="1" t="s">
        <v>468</v>
      </c>
      <c r="B129" s="1" t="str">
        <f>"呉市本通4-10-5"</f>
        <v>呉市本通4-10-5</v>
      </c>
      <c r="C129" s="2">
        <v>46022</v>
      </c>
    </row>
    <row r="130" spans="1:3" x14ac:dyDescent="0.4">
      <c r="A130" s="1" t="s">
        <v>201</v>
      </c>
      <c r="B130" s="1" t="str">
        <f>"呉市本通4-2-12"</f>
        <v>呉市本通4-2-12</v>
      </c>
      <c r="C130" s="2">
        <v>46387</v>
      </c>
    </row>
    <row r="131" spans="1:3" x14ac:dyDescent="0.4">
      <c r="A131" s="1" t="s">
        <v>462</v>
      </c>
      <c r="B131" s="1" t="str">
        <f>"呉市本通4-9-23"</f>
        <v>呉市本通4-9-23</v>
      </c>
      <c r="C131" s="2">
        <v>46387</v>
      </c>
    </row>
    <row r="132" spans="1:3" x14ac:dyDescent="0.4">
      <c r="A132" s="1" t="s">
        <v>324</v>
      </c>
      <c r="B132" s="1" t="str">
        <f>"呉市本通5-1-28"</f>
        <v>呉市本通5-1-28</v>
      </c>
      <c r="C132" s="2">
        <v>46387</v>
      </c>
    </row>
    <row r="133" spans="1:3" x14ac:dyDescent="0.4">
      <c r="A133" s="1" t="s">
        <v>452</v>
      </c>
      <c r="B133" s="1" t="str">
        <f>"呉市本通6-2-15"</f>
        <v>呉市本通6-2-15</v>
      </c>
      <c r="C133" s="2">
        <v>46387</v>
      </c>
    </row>
    <row r="134" spans="1:3" x14ac:dyDescent="0.4">
      <c r="A134" s="1" t="s">
        <v>126</v>
      </c>
      <c r="B134" s="1" t="str">
        <f>"呉市本通6-6-7"</f>
        <v>呉市本通6-6-7</v>
      </c>
      <c r="C134" s="2">
        <v>46387</v>
      </c>
    </row>
    <row r="135" spans="1:3" x14ac:dyDescent="0.4">
      <c r="A135" s="1" t="s">
        <v>456</v>
      </c>
      <c r="B135" s="1" t="str">
        <f>"呉市本通7-1-30"</f>
        <v>呉市本通7-1-30</v>
      </c>
      <c r="C135" s="2">
        <v>47118</v>
      </c>
    </row>
    <row r="136" spans="1:3" x14ac:dyDescent="0.4">
      <c r="A136" s="1" t="s">
        <v>358</v>
      </c>
      <c r="B136" s="1" t="str">
        <f>"呉市和庄登町12-19"</f>
        <v>呉市和庄登町12-19</v>
      </c>
      <c r="C136" s="2">
        <v>46387</v>
      </c>
    </row>
    <row r="137" spans="1:3" x14ac:dyDescent="0.4">
      <c r="A137" s="1" t="s">
        <v>414</v>
      </c>
      <c r="B137" s="1" t="str">
        <f>"竹原市下野町1771-1"</f>
        <v>竹原市下野町1771-1</v>
      </c>
      <c r="C137" s="2">
        <v>47118</v>
      </c>
    </row>
    <row r="138" spans="1:3" x14ac:dyDescent="0.4">
      <c r="A138" s="1" t="s">
        <v>128</v>
      </c>
      <c r="B138" s="1" t="str">
        <f>"竹原市下野町3143-6"</f>
        <v>竹原市下野町3143-6</v>
      </c>
      <c r="C138" s="2">
        <v>46387</v>
      </c>
    </row>
    <row r="139" spans="1:3" x14ac:dyDescent="0.4">
      <c r="A139" s="1" t="s">
        <v>485</v>
      </c>
      <c r="B139" s="1" t="str">
        <f>"竹原市下野町3263-1"</f>
        <v>竹原市下野町3263-1</v>
      </c>
      <c r="C139" s="2">
        <v>46387</v>
      </c>
    </row>
    <row r="140" spans="1:3" x14ac:dyDescent="0.4">
      <c r="A140" s="1" t="s">
        <v>116</v>
      </c>
      <c r="B140" s="1" t="s">
        <v>191</v>
      </c>
      <c r="C140" s="2">
        <v>46387</v>
      </c>
    </row>
    <row r="141" spans="1:3" x14ac:dyDescent="0.4">
      <c r="A141" s="1" t="s">
        <v>376</v>
      </c>
      <c r="B141" s="1" t="s">
        <v>486</v>
      </c>
      <c r="C141" s="2">
        <v>46752</v>
      </c>
    </row>
    <row r="142" spans="1:3" x14ac:dyDescent="0.4">
      <c r="A142" s="1" t="s">
        <v>487</v>
      </c>
      <c r="B142" s="1" t="str">
        <f>"竹原市竹原町下新開3554-6"</f>
        <v>竹原市竹原町下新開3554-6</v>
      </c>
      <c r="C142" s="2">
        <v>46387</v>
      </c>
    </row>
    <row r="143" spans="1:3" x14ac:dyDescent="0.4">
      <c r="A143" s="1" t="s">
        <v>477</v>
      </c>
      <c r="B143" s="1" t="str">
        <f>"竹原市中央2-1-22"</f>
        <v>竹原市中央2-1-22</v>
      </c>
      <c r="C143" s="2">
        <v>46387</v>
      </c>
    </row>
    <row r="144" spans="1:3" x14ac:dyDescent="0.4">
      <c r="A144" s="1" t="s">
        <v>204</v>
      </c>
      <c r="B144" s="1" t="str">
        <f>"竹原市中央2-14-8"</f>
        <v>竹原市中央2-14-8</v>
      </c>
      <c r="C144" s="2">
        <v>46387</v>
      </c>
    </row>
    <row r="145" spans="1:3" x14ac:dyDescent="0.4">
      <c r="A145" s="1" t="s">
        <v>310</v>
      </c>
      <c r="B145" s="1" t="str">
        <f>"竹原市中央2-18-16"</f>
        <v>竹原市中央2-18-16</v>
      </c>
      <c r="C145" s="2">
        <v>46387</v>
      </c>
    </row>
    <row r="146" spans="1:3" x14ac:dyDescent="0.4">
      <c r="A146" s="1" t="s">
        <v>480</v>
      </c>
      <c r="B146" s="1" t="str">
        <f>"竹原市中央2-4-15"</f>
        <v>竹原市中央2-4-15</v>
      </c>
      <c r="C146" s="2">
        <v>46387</v>
      </c>
    </row>
    <row r="147" spans="1:3" x14ac:dyDescent="0.4">
      <c r="A147" s="1" t="s">
        <v>481</v>
      </c>
      <c r="B147" s="1" t="str">
        <f>"竹原市中央3-16-54"</f>
        <v>竹原市中央3-16-54</v>
      </c>
      <c r="C147" s="2">
        <v>46387</v>
      </c>
    </row>
    <row r="148" spans="1:3" x14ac:dyDescent="0.4">
      <c r="A148" s="1" t="s">
        <v>483</v>
      </c>
      <c r="B148" s="1" t="str">
        <f>"竹原市中央3-17-9"</f>
        <v>竹原市中央3-17-9</v>
      </c>
      <c r="C148" s="2">
        <v>46387</v>
      </c>
    </row>
    <row r="149" spans="1:3" x14ac:dyDescent="0.4">
      <c r="A149" s="1" t="s">
        <v>101</v>
      </c>
      <c r="B149" s="1" t="str">
        <f>"竹原市中央3-3-2"</f>
        <v>竹原市中央3-3-2</v>
      </c>
      <c r="C149" s="2">
        <v>46022</v>
      </c>
    </row>
    <row r="150" spans="1:3" x14ac:dyDescent="0.4">
      <c r="A150" s="1" t="s">
        <v>440</v>
      </c>
      <c r="B150" s="1" t="str">
        <f>"竹原市中央3-4-16"</f>
        <v>竹原市中央3-4-16</v>
      </c>
      <c r="C150" s="2">
        <v>46387</v>
      </c>
    </row>
    <row r="151" spans="1:3" x14ac:dyDescent="0.4">
      <c r="A151" s="1" t="s">
        <v>484</v>
      </c>
      <c r="B151" s="1" t="str">
        <f>"竹原市中央4-4-24"</f>
        <v>竹原市中央4-4-24</v>
      </c>
      <c r="C151" s="2">
        <v>46387</v>
      </c>
    </row>
    <row r="152" spans="1:3" x14ac:dyDescent="0.4">
      <c r="A152" s="1" t="s">
        <v>105</v>
      </c>
      <c r="B152" s="1" t="str">
        <f>"竹原市忠海中町2-1-16"</f>
        <v>竹原市忠海中町2-1-16</v>
      </c>
      <c r="C152" s="2">
        <v>46387</v>
      </c>
    </row>
    <row r="153" spans="1:3" x14ac:dyDescent="0.4">
      <c r="A153" s="1" t="s">
        <v>339</v>
      </c>
      <c r="B153" s="1" t="str">
        <f>"竹原市忠海中町2-2-10"</f>
        <v>竹原市忠海中町2-2-10</v>
      </c>
      <c r="C153" s="2">
        <v>46387</v>
      </c>
    </row>
    <row r="154" spans="1:3" x14ac:dyDescent="0.4">
      <c r="A154" s="1" t="s">
        <v>231</v>
      </c>
      <c r="B154" s="1" t="str">
        <f>"竹原市忠海中町2-2-46"</f>
        <v>竹原市忠海中町2-2-46</v>
      </c>
      <c r="C154" s="2">
        <v>46387</v>
      </c>
    </row>
    <row r="155" spans="1:3" x14ac:dyDescent="0.4">
      <c r="A155" s="1" t="s">
        <v>479</v>
      </c>
      <c r="B155" s="1" t="str">
        <f>"竹原市本町1-4-8"</f>
        <v>竹原市本町1-4-8</v>
      </c>
      <c r="C155" s="2">
        <v>46387</v>
      </c>
    </row>
    <row r="156" spans="1:3" x14ac:dyDescent="0.4">
      <c r="A156" s="1" t="s">
        <v>281</v>
      </c>
      <c r="B156" s="1" t="str">
        <f>"三原市円一町1-1-2-2"</f>
        <v>三原市円一町1-1-2-2</v>
      </c>
      <c r="C156" s="2">
        <v>46752</v>
      </c>
    </row>
    <row r="157" spans="1:3" x14ac:dyDescent="0.4">
      <c r="A157" s="1" t="s">
        <v>138</v>
      </c>
      <c r="B157" s="1" t="str">
        <f>"三原市円一町1-1-7 フジグラン三原"</f>
        <v>三原市円一町1-1-7 フジグラン三原</v>
      </c>
      <c r="C157" s="2">
        <v>46387</v>
      </c>
    </row>
    <row r="158" spans="1:3" x14ac:dyDescent="0.4">
      <c r="A158" s="1" t="s">
        <v>507</v>
      </c>
      <c r="B158" s="1" t="str">
        <f>"三原市円一町2-6-27"</f>
        <v>三原市円一町2-6-27</v>
      </c>
      <c r="C158" s="2">
        <v>46022</v>
      </c>
    </row>
    <row r="159" spans="1:3" x14ac:dyDescent="0.4">
      <c r="A159" s="1" t="s">
        <v>506</v>
      </c>
      <c r="B159" s="1" t="str">
        <f>"三原市円一町4-1-27"</f>
        <v>三原市円一町4-1-27</v>
      </c>
      <c r="C159" s="2">
        <v>46022</v>
      </c>
    </row>
    <row r="160" spans="1:3" x14ac:dyDescent="0.4">
      <c r="A160" s="1" t="s">
        <v>147</v>
      </c>
      <c r="B160" s="1" t="str">
        <f>"三原市下北方1-7-25"</f>
        <v>三原市下北方1-7-25</v>
      </c>
      <c r="C160" s="2">
        <v>45657</v>
      </c>
    </row>
    <row r="161" spans="1:3" x14ac:dyDescent="0.4">
      <c r="A161" s="1" t="s">
        <v>508</v>
      </c>
      <c r="B161" s="1" t="str">
        <f>"三原市皆実4-19-16"</f>
        <v>三原市皆実4-19-16</v>
      </c>
      <c r="C161" s="2">
        <v>46387</v>
      </c>
    </row>
    <row r="162" spans="1:3" x14ac:dyDescent="0.4">
      <c r="A162" s="1" t="s">
        <v>183</v>
      </c>
      <c r="B162" s="1" t="str">
        <f>"三原市久井町江木1163-5"</f>
        <v>三原市久井町江木1163-5</v>
      </c>
      <c r="C162" s="2">
        <v>46387</v>
      </c>
    </row>
    <row r="163" spans="1:3" x14ac:dyDescent="0.4">
      <c r="A163" s="1" t="s">
        <v>498</v>
      </c>
      <c r="B163" s="1" t="str">
        <f>"三原市久井町江木82-5"</f>
        <v>三原市久井町江木82-5</v>
      </c>
      <c r="C163" s="2">
        <v>46387</v>
      </c>
    </row>
    <row r="164" spans="1:3" x14ac:dyDescent="0.4">
      <c r="A164" s="1" t="s">
        <v>291</v>
      </c>
      <c r="B164" s="1" t="str">
        <f>"三原市宮浦1-20-36"</f>
        <v>三原市宮浦1-20-36</v>
      </c>
      <c r="C164" s="2">
        <v>46387</v>
      </c>
    </row>
    <row r="165" spans="1:3" x14ac:dyDescent="0.4">
      <c r="A165" s="1" t="s">
        <v>501</v>
      </c>
      <c r="B165" s="1" t="str">
        <f>"三原市宮浦5-16-10"</f>
        <v>三原市宮浦5-16-10</v>
      </c>
      <c r="C165" s="2">
        <v>46387</v>
      </c>
    </row>
    <row r="166" spans="1:3" x14ac:dyDescent="0.4">
      <c r="A166" s="1" t="s">
        <v>248</v>
      </c>
      <c r="B166" s="1" t="str">
        <f>"三原市宮浦5-16-16"</f>
        <v>三原市宮浦5-16-16</v>
      </c>
      <c r="C166" s="2">
        <v>47118</v>
      </c>
    </row>
    <row r="167" spans="1:3" x14ac:dyDescent="0.4">
      <c r="A167" s="1" t="s">
        <v>88</v>
      </c>
      <c r="B167" s="1" t="str">
        <f>"三原市宮浦6-1-1"</f>
        <v>三原市宮浦6-1-1</v>
      </c>
      <c r="C167" s="2">
        <v>47483</v>
      </c>
    </row>
    <row r="168" spans="1:3" x14ac:dyDescent="0.4">
      <c r="A168" s="1" t="s">
        <v>509</v>
      </c>
      <c r="B168" s="1" t="str">
        <f>"三原市宮浦6-3-2"</f>
        <v>三原市宮浦6-3-2</v>
      </c>
      <c r="C168" s="2">
        <v>47118</v>
      </c>
    </row>
    <row r="169" spans="1:3" x14ac:dyDescent="0.4">
      <c r="A169" s="1" t="s">
        <v>5</v>
      </c>
      <c r="B169" s="1" t="str">
        <f>"三原市宮浦6-6-39"</f>
        <v>三原市宮浦6-6-39</v>
      </c>
      <c r="C169" s="2">
        <v>46387</v>
      </c>
    </row>
    <row r="170" spans="1:3" x14ac:dyDescent="0.4">
      <c r="A170" s="1" t="s">
        <v>493</v>
      </c>
      <c r="B170" s="1" t="str">
        <f>"三原市宮沖2-2-10"</f>
        <v>三原市宮沖2-2-10</v>
      </c>
      <c r="C170" s="2">
        <v>46387</v>
      </c>
    </row>
    <row r="171" spans="1:3" x14ac:dyDescent="0.4">
      <c r="A171" s="1" t="s">
        <v>496</v>
      </c>
      <c r="B171" s="1" t="str">
        <f>"三原市宮沖2-6-17"</f>
        <v>三原市宮沖2-6-17</v>
      </c>
      <c r="C171" s="2">
        <v>46387</v>
      </c>
    </row>
    <row r="172" spans="1:3" x14ac:dyDescent="0.4">
      <c r="A172" s="1" t="s">
        <v>170</v>
      </c>
      <c r="B172" s="1" t="str">
        <f>"三原市宮沖5-3-20"</f>
        <v>三原市宮沖5-3-20</v>
      </c>
      <c r="C172" s="2">
        <v>46387</v>
      </c>
    </row>
    <row r="173" spans="1:3" x14ac:dyDescent="0.4">
      <c r="A173" s="1" t="s">
        <v>503</v>
      </c>
      <c r="B173" s="1" t="str">
        <f>"三原市古浜1-4-1"</f>
        <v>三原市古浜1-4-1</v>
      </c>
      <c r="C173" s="2">
        <v>46387</v>
      </c>
    </row>
    <row r="174" spans="1:3" x14ac:dyDescent="0.4">
      <c r="A174" s="1" t="s">
        <v>104</v>
      </c>
      <c r="B174" s="1" t="str">
        <f>"三原市幸崎能地4-10-22"</f>
        <v>三原市幸崎能地4-10-22</v>
      </c>
      <c r="C174" s="2">
        <v>46387</v>
      </c>
    </row>
    <row r="175" spans="1:3" x14ac:dyDescent="0.4">
      <c r="A175" s="1" t="s">
        <v>489</v>
      </c>
      <c r="B175" s="1" t="str">
        <f>"三原市港町1-2-27"</f>
        <v>三原市港町1-2-27</v>
      </c>
      <c r="C175" s="2">
        <v>46387</v>
      </c>
    </row>
    <row r="176" spans="1:3" x14ac:dyDescent="0.4">
      <c r="A176" s="1" t="s">
        <v>510</v>
      </c>
      <c r="B176" s="1" t="str">
        <f>"三原市港町1-3-15"</f>
        <v>三原市港町1-3-15</v>
      </c>
      <c r="C176" s="2">
        <v>47118</v>
      </c>
    </row>
    <row r="177" spans="1:3" x14ac:dyDescent="0.4">
      <c r="A177" s="1" t="s">
        <v>415</v>
      </c>
      <c r="B177" s="1" t="str">
        <f>"三原市港町3-20-19"</f>
        <v>三原市港町3-20-19</v>
      </c>
      <c r="C177" s="2">
        <v>46387</v>
      </c>
    </row>
    <row r="178" spans="1:3" x14ac:dyDescent="0.4">
      <c r="A178" s="1" t="s">
        <v>340</v>
      </c>
      <c r="B178" s="1" t="str">
        <f>"三原市港町3-7-27"</f>
        <v>三原市港町3-7-27</v>
      </c>
      <c r="C178" s="2">
        <v>46752</v>
      </c>
    </row>
    <row r="179" spans="1:3" x14ac:dyDescent="0.4">
      <c r="A179" s="1" t="s">
        <v>497</v>
      </c>
      <c r="B179" s="1" t="str">
        <f>"三原市糸崎4-4-17"</f>
        <v>三原市糸崎4-4-17</v>
      </c>
      <c r="C179" s="2">
        <v>46387</v>
      </c>
    </row>
    <row r="180" spans="1:3" x14ac:dyDescent="0.4">
      <c r="A180" s="1" t="s">
        <v>74</v>
      </c>
      <c r="B180" s="1" t="str">
        <f>"三原市宗郷1-3-30"</f>
        <v>三原市宗郷1-3-30</v>
      </c>
      <c r="C180" s="2">
        <v>46387</v>
      </c>
    </row>
    <row r="181" spans="1:3" x14ac:dyDescent="0.4">
      <c r="A181" s="1" t="s">
        <v>242</v>
      </c>
      <c r="B181" s="1" t="str">
        <f>"三原市宗郷3-3-8"</f>
        <v>三原市宗郷3-3-8</v>
      </c>
      <c r="C181" s="2">
        <v>46387</v>
      </c>
    </row>
    <row r="182" spans="1:3" x14ac:dyDescent="0.4">
      <c r="A182" s="1" t="s">
        <v>382</v>
      </c>
      <c r="B182" s="1" t="str">
        <f>"三原市宗郷町1-3-18"</f>
        <v>三原市宗郷町1-3-18</v>
      </c>
      <c r="C182" s="2">
        <v>46387</v>
      </c>
    </row>
    <row r="183" spans="1:3" x14ac:dyDescent="0.4">
      <c r="A183" s="1" t="s">
        <v>52</v>
      </c>
      <c r="B183" s="1" t="str">
        <f>"三原市沼田東町片島224-6"</f>
        <v>三原市沼田東町片島224-6</v>
      </c>
      <c r="C183" s="2">
        <v>46387</v>
      </c>
    </row>
    <row r="184" spans="1:3" x14ac:dyDescent="0.4">
      <c r="A184" s="1" t="s">
        <v>186</v>
      </c>
      <c r="B184" s="1" t="str">
        <f>"三原市城町1-13-5"</f>
        <v>三原市城町1-13-5</v>
      </c>
      <c r="C184" s="2">
        <v>46387</v>
      </c>
    </row>
    <row r="185" spans="1:3" x14ac:dyDescent="0.4">
      <c r="A185" s="1" t="s">
        <v>301</v>
      </c>
      <c r="B185" s="1" t="str">
        <f>"三原市城町1-2-1"</f>
        <v>三原市城町1-2-1</v>
      </c>
      <c r="C185" s="2">
        <v>46387</v>
      </c>
    </row>
    <row r="186" spans="1:3" x14ac:dyDescent="0.4">
      <c r="A186" s="1" t="s">
        <v>343</v>
      </c>
      <c r="B186" s="1" t="str">
        <f>"三原市城町1-8-7"</f>
        <v>三原市城町1-8-7</v>
      </c>
      <c r="C186" s="2">
        <v>46387</v>
      </c>
    </row>
    <row r="187" spans="1:3" x14ac:dyDescent="0.4">
      <c r="A187" s="1" t="s">
        <v>241</v>
      </c>
      <c r="B187" s="1" t="str">
        <f>"三原市城町2-13-1"</f>
        <v>三原市城町2-13-1</v>
      </c>
      <c r="C187" s="2">
        <v>46387</v>
      </c>
    </row>
    <row r="188" spans="1:3" x14ac:dyDescent="0.4">
      <c r="A188" s="1" t="s">
        <v>499</v>
      </c>
      <c r="B188" s="1" t="str">
        <f>"三原市城町2-2-22"</f>
        <v>三原市城町2-2-22</v>
      </c>
      <c r="C188" s="2">
        <v>46387</v>
      </c>
    </row>
    <row r="189" spans="1:3" x14ac:dyDescent="0.4">
      <c r="A189" s="1" t="s">
        <v>490</v>
      </c>
      <c r="B189" s="1" t="str">
        <f>"三原市城町2-7-1"</f>
        <v>三原市城町2-7-1</v>
      </c>
      <c r="C189" s="2">
        <v>46387</v>
      </c>
    </row>
    <row r="190" spans="1:3" x14ac:dyDescent="0.4">
      <c r="A190" s="1" t="s">
        <v>504</v>
      </c>
      <c r="B190" s="1" t="str">
        <f>"三原市城町3-5-6"</f>
        <v>三原市城町3-5-6</v>
      </c>
      <c r="C190" s="2">
        <v>47483</v>
      </c>
    </row>
    <row r="191" spans="1:3" x14ac:dyDescent="0.4">
      <c r="A191" s="1" t="s">
        <v>505</v>
      </c>
      <c r="B191" s="1" t="str">
        <f>"三原市西宮1-2-1"</f>
        <v>三原市西宮1-2-1</v>
      </c>
      <c r="C191" s="2">
        <v>46387</v>
      </c>
    </row>
    <row r="192" spans="1:3" x14ac:dyDescent="0.4">
      <c r="A192" s="1" t="s">
        <v>853</v>
      </c>
      <c r="B192" s="1" t="str">
        <f>"三原市大和町下徳良1895-4"</f>
        <v>三原市大和町下徳良1895-4</v>
      </c>
      <c r="C192" s="2">
        <v>46387</v>
      </c>
    </row>
    <row r="193" spans="1:3" x14ac:dyDescent="0.4">
      <c r="A193" s="1" t="s">
        <v>396</v>
      </c>
      <c r="B193" s="1" t="str">
        <f>"三原市大和町和木1531-5"</f>
        <v>三原市大和町和木1531-5</v>
      </c>
      <c r="C193" s="2">
        <v>46387</v>
      </c>
    </row>
    <row r="194" spans="1:3" x14ac:dyDescent="0.4">
      <c r="A194" s="1" t="s">
        <v>491</v>
      </c>
      <c r="B194" s="1" t="str">
        <f>"三原市中之町2-1-23"</f>
        <v>三原市中之町2-1-23</v>
      </c>
      <c r="C194" s="2">
        <v>46387</v>
      </c>
    </row>
    <row r="195" spans="1:3" x14ac:dyDescent="0.4">
      <c r="A195" s="1" t="s">
        <v>309</v>
      </c>
      <c r="B195" s="1" t="str">
        <f>"三原市中之町3-14-15"</f>
        <v>三原市中之町3-14-15</v>
      </c>
      <c r="C195" s="2">
        <v>46387</v>
      </c>
    </row>
    <row r="196" spans="1:3" x14ac:dyDescent="0.4">
      <c r="A196" s="1" t="s">
        <v>226</v>
      </c>
      <c r="B196" s="1" t="str">
        <f>"三原市中之町9-24-2"</f>
        <v>三原市中之町9-24-2</v>
      </c>
      <c r="C196" s="2">
        <v>46387</v>
      </c>
    </row>
    <row r="197" spans="1:3" x14ac:dyDescent="0.4">
      <c r="A197" s="1" t="s">
        <v>494</v>
      </c>
      <c r="B197" s="1" t="str">
        <f>"三原市東町2-12-17"</f>
        <v>三原市東町2-12-17</v>
      </c>
      <c r="C197" s="2">
        <v>46387</v>
      </c>
    </row>
    <row r="198" spans="1:3" x14ac:dyDescent="0.4">
      <c r="A198" s="1" t="s">
        <v>502</v>
      </c>
      <c r="B198" s="1" t="str">
        <f>"三原市東町2-8-2"</f>
        <v>三原市東町2-8-2</v>
      </c>
      <c r="C198" s="2">
        <v>46387</v>
      </c>
    </row>
    <row r="199" spans="1:3" x14ac:dyDescent="0.4">
      <c r="A199" s="1" t="s">
        <v>407</v>
      </c>
      <c r="B199" s="1" t="str">
        <f>"三原市本郷南5-26-2"</f>
        <v>三原市本郷南5-26-2</v>
      </c>
      <c r="C199" s="2">
        <v>46387</v>
      </c>
    </row>
    <row r="200" spans="1:3" x14ac:dyDescent="0.4">
      <c r="A200" s="1" t="s">
        <v>500</v>
      </c>
      <c r="B200" s="1" t="str">
        <f>"三原市本町1-9-9"</f>
        <v>三原市本町1-9-9</v>
      </c>
      <c r="C200" s="2">
        <v>46387</v>
      </c>
    </row>
    <row r="201" spans="1:3" x14ac:dyDescent="0.4">
      <c r="A201" s="1" t="s">
        <v>428</v>
      </c>
      <c r="B201" s="1" t="str">
        <f>"三原市明神2-11-5"</f>
        <v>三原市明神2-11-5</v>
      </c>
      <c r="C201" s="2">
        <v>46387</v>
      </c>
    </row>
    <row r="202" spans="1:3" x14ac:dyDescent="0.4">
      <c r="A202" s="1" t="s">
        <v>336</v>
      </c>
      <c r="B202" s="1" t="str">
        <f>"三原市頼兼1-1-4"</f>
        <v>三原市頼兼1-1-4</v>
      </c>
      <c r="C202" s="2">
        <v>46022</v>
      </c>
    </row>
    <row r="203" spans="1:3" x14ac:dyDescent="0.4">
      <c r="A203" s="1" t="s">
        <v>82</v>
      </c>
      <c r="B203" s="1" t="str">
        <f>"三原市和田3-4-1"</f>
        <v>三原市和田3-4-1</v>
      </c>
      <c r="C203" s="2">
        <v>46752</v>
      </c>
    </row>
    <row r="204" spans="1:3" x14ac:dyDescent="0.4">
      <c r="A204" s="1" t="s">
        <v>195</v>
      </c>
      <c r="B204" s="1" t="str">
        <f>"尾道市因島三庄町1621-8"</f>
        <v>尾道市因島三庄町1621-8</v>
      </c>
      <c r="C204" s="2">
        <v>46387</v>
      </c>
    </row>
    <row r="205" spans="1:3" x14ac:dyDescent="0.4">
      <c r="A205" s="1" t="s">
        <v>440</v>
      </c>
      <c r="B205" s="1" t="str">
        <f>"尾道市因島重井町5232-4"</f>
        <v>尾道市因島重井町5232-4</v>
      </c>
      <c r="C205" s="2">
        <v>46752</v>
      </c>
    </row>
    <row r="206" spans="1:3" x14ac:dyDescent="0.4">
      <c r="A206" s="1" t="s">
        <v>551</v>
      </c>
      <c r="B206" s="1" t="str">
        <f>"尾道市因島重井町6616-3"</f>
        <v>尾道市因島重井町6616-3</v>
      </c>
      <c r="C206" s="2">
        <v>46387</v>
      </c>
    </row>
    <row r="207" spans="1:3" x14ac:dyDescent="0.4">
      <c r="A207" s="1" t="s">
        <v>553</v>
      </c>
      <c r="B207" s="1" t="str">
        <f>"尾道市因島中庄町4895-26"</f>
        <v>尾道市因島中庄町4895-26</v>
      </c>
      <c r="C207" s="2">
        <v>46387</v>
      </c>
    </row>
    <row r="208" spans="1:3" x14ac:dyDescent="0.4">
      <c r="A208" s="1" t="s">
        <v>411</v>
      </c>
      <c r="B208" s="1" t="str">
        <f>"尾道市因島中庄町西浦2430-4"</f>
        <v>尾道市因島中庄町西浦2430-4</v>
      </c>
      <c r="C208" s="2">
        <v>46387</v>
      </c>
    </row>
    <row r="209" spans="1:3" x14ac:dyDescent="0.4">
      <c r="A209" s="1" t="s">
        <v>534</v>
      </c>
      <c r="B209" s="1" t="str">
        <f>"尾道市因島田熊町字扇新開1141-1"</f>
        <v>尾道市因島田熊町字扇新開1141-1</v>
      </c>
      <c r="C209" s="2">
        <v>46387</v>
      </c>
    </row>
    <row r="210" spans="1:3" x14ac:dyDescent="0.4">
      <c r="A210" s="1" t="s">
        <v>549</v>
      </c>
      <c r="B210" s="1" t="str">
        <f>"尾道市因島土生町1684-7"</f>
        <v>尾道市因島土生町1684-7</v>
      </c>
      <c r="C210" s="2">
        <v>46387</v>
      </c>
    </row>
    <row r="211" spans="1:3" x14ac:dyDescent="0.4">
      <c r="A211" s="1" t="s">
        <v>49</v>
      </c>
      <c r="B211" s="1" t="str">
        <f>"尾道市因島土生町1809-20"</f>
        <v>尾道市因島土生町1809-20</v>
      </c>
      <c r="C211" s="2">
        <v>46387</v>
      </c>
    </row>
    <row r="212" spans="1:3" x14ac:dyDescent="0.4">
      <c r="A212" s="1" t="s">
        <v>546</v>
      </c>
      <c r="B212" s="1" t="str">
        <f>"尾道市因島土生町1899-7"</f>
        <v>尾道市因島土生町1899-7</v>
      </c>
      <c r="C212" s="2">
        <v>46387</v>
      </c>
    </row>
    <row r="213" spans="1:3" x14ac:dyDescent="0.4">
      <c r="A213" s="1" t="s">
        <v>552</v>
      </c>
      <c r="B213" s="1" t="str">
        <f>"尾道市因島土生町1899-98"</f>
        <v>尾道市因島土生町1899-98</v>
      </c>
      <c r="C213" s="2">
        <v>46387</v>
      </c>
    </row>
    <row r="214" spans="1:3" x14ac:dyDescent="0.4">
      <c r="A214" s="1" t="s">
        <v>419</v>
      </c>
      <c r="B214" s="1" t="str">
        <f>"尾道市因島土生町2016-3"</f>
        <v>尾道市因島土生町2016-3</v>
      </c>
      <c r="C214" s="2">
        <v>46387</v>
      </c>
    </row>
    <row r="215" spans="1:3" x14ac:dyDescent="0.4">
      <c r="A215" s="1" t="s">
        <v>547</v>
      </c>
      <c r="B215" s="1" t="s">
        <v>548</v>
      </c>
      <c r="C215" s="2">
        <v>46387</v>
      </c>
    </row>
    <row r="216" spans="1:3" x14ac:dyDescent="0.4">
      <c r="A216" s="1" t="s">
        <v>554</v>
      </c>
      <c r="B216" s="1" t="str">
        <f>"尾道市因島土生町2100-11"</f>
        <v>尾道市因島土生町2100-11</v>
      </c>
      <c r="C216" s="2">
        <v>46387</v>
      </c>
    </row>
    <row r="217" spans="1:3" x14ac:dyDescent="0.4">
      <c r="A217" s="1" t="s">
        <v>416</v>
      </c>
      <c r="B217" s="1" t="str">
        <f>"尾道市因島土生町2147-1"</f>
        <v>尾道市因島土生町2147-1</v>
      </c>
      <c r="C217" s="2">
        <v>47238</v>
      </c>
    </row>
    <row r="218" spans="1:3" x14ac:dyDescent="0.4">
      <c r="A218" s="1" t="s">
        <v>169</v>
      </c>
      <c r="B218" s="1" t="str">
        <f>"尾道市因島土生町2201-1"</f>
        <v>尾道市因島土生町2201-1</v>
      </c>
      <c r="C218" s="2">
        <v>46387</v>
      </c>
    </row>
    <row r="219" spans="1:3" x14ac:dyDescent="0.4">
      <c r="A219" s="1" t="s">
        <v>538</v>
      </c>
      <c r="B219" s="1" t="str">
        <f>"尾道市久保1-13-16"</f>
        <v>尾道市久保1-13-16</v>
      </c>
      <c r="C219" s="2">
        <v>45657</v>
      </c>
    </row>
    <row r="220" spans="1:3" x14ac:dyDescent="0.4">
      <c r="A220" s="1" t="s">
        <v>56</v>
      </c>
      <c r="B220" s="1" t="str">
        <f>"尾道市久保1-2-2"</f>
        <v>尾道市久保1-2-2</v>
      </c>
      <c r="C220" s="2">
        <v>47483</v>
      </c>
    </row>
    <row r="221" spans="1:3" x14ac:dyDescent="0.4">
      <c r="A221" s="1" t="s">
        <v>84</v>
      </c>
      <c r="B221" s="1" t="str">
        <f>"尾道市久保1-3-21"</f>
        <v>尾道市久保1-3-21</v>
      </c>
      <c r="C221" s="2">
        <v>46387</v>
      </c>
    </row>
    <row r="222" spans="1:3" x14ac:dyDescent="0.4">
      <c r="A222" s="1" t="s">
        <v>515</v>
      </c>
      <c r="B222" s="1" t="str">
        <f>"尾道市久保2-23-15"</f>
        <v>尾道市久保2-23-15</v>
      </c>
      <c r="C222" s="2">
        <v>46387</v>
      </c>
    </row>
    <row r="223" spans="1:3" x14ac:dyDescent="0.4">
      <c r="A223" s="1" t="s">
        <v>62</v>
      </c>
      <c r="B223" s="1" t="str">
        <f>"尾道市久保3-2-4"</f>
        <v>尾道市久保3-2-4</v>
      </c>
      <c r="C223" s="2">
        <v>46387</v>
      </c>
    </row>
    <row r="224" spans="1:3" x14ac:dyDescent="0.4">
      <c r="A224" s="1" t="s">
        <v>373</v>
      </c>
      <c r="B224" s="1" t="str">
        <f>"尾道市栗原西1-4-16"</f>
        <v>尾道市栗原西1-4-16</v>
      </c>
      <c r="C224" s="2">
        <v>47118</v>
      </c>
    </row>
    <row r="225" spans="1:3" x14ac:dyDescent="0.4">
      <c r="A225" s="1" t="s">
        <v>350</v>
      </c>
      <c r="B225" s="1" t="str">
        <f>"尾道市栗原西1-9-16"</f>
        <v>尾道市栗原西1-9-16</v>
      </c>
      <c r="C225" s="2">
        <v>46387</v>
      </c>
    </row>
    <row r="226" spans="1:3" x14ac:dyDescent="0.4">
      <c r="A226" s="1" t="s">
        <v>244</v>
      </c>
      <c r="B226" s="1" t="str">
        <f>"尾道市栗原西2-3-11"</f>
        <v>尾道市栗原西2-3-11</v>
      </c>
      <c r="C226" s="2">
        <v>46387</v>
      </c>
    </row>
    <row r="227" spans="1:3" x14ac:dyDescent="0.4">
      <c r="A227" s="1" t="s">
        <v>525</v>
      </c>
      <c r="B227" s="1" t="str">
        <f>"尾道市栗原西2-5-10"</f>
        <v>尾道市栗原西2-5-10</v>
      </c>
      <c r="C227" s="2">
        <v>46387</v>
      </c>
    </row>
    <row r="228" spans="1:3" x14ac:dyDescent="0.4">
      <c r="A228" s="1" t="s">
        <v>533</v>
      </c>
      <c r="B228" s="1" t="str">
        <f>"尾道市栗原町11482-1"</f>
        <v>尾道市栗原町11482-1</v>
      </c>
      <c r="C228" s="2">
        <v>46387</v>
      </c>
    </row>
    <row r="229" spans="1:3" x14ac:dyDescent="0.4">
      <c r="A229" s="1" t="s">
        <v>79</v>
      </c>
      <c r="B229" s="1" t="str">
        <f>"尾道市栗原町5901-1"</f>
        <v>尾道市栗原町5901-1</v>
      </c>
      <c r="C229" s="2">
        <v>46387</v>
      </c>
    </row>
    <row r="230" spans="1:3" x14ac:dyDescent="0.4">
      <c r="A230" s="1" t="s">
        <v>516</v>
      </c>
      <c r="B230" s="1" t="str">
        <f>"尾道市栗原町8234-1"</f>
        <v>尾道市栗原町8234-1</v>
      </c>
      <c r="C230" s="2">
        <v>46387</v>
      </c>
    </row>
    <row r="231" spans="1:3" x14ac:dyDescent="0.4">
      <c r="A231" s="1" t="s">
        <v>239</v>
      </c>
      <c r="B231" s="1" t="str">
        <f>"尾道市栗原町8517-1"</f>
        <v>尾道市栗原町8517-1</v>
      </c>
      <c r="C231" s="2">
        <v>46387</v>
      </c>
    </row>
    <row r="232" spans="1:3" x14ac:dyDescent="0.4">
      <c r="A232" s="1" t="s">
        <v>129</v>
      </c>
      <c r="B232" s="1" t="str">
        <f>"尾道市栗原町9650-10"</f>
        <v>尾道市栗原町9650-10</v>
      </c>
      <c r="C232" s="2">
        <v>46387</v>
      </c>
    </row>
    <row r="233" spans="1:3" x14ac:dyDescent="0.4">
      <c r="A233" s="1" t="s">
        <v>543</v>
      </c>
      <c r="B233" s="1" t="str">
        <f>"尾道市栗原東2-1-28"</f>
        <v>尾道市栗原東2-1-28</v>
      </c>
      <c r="C233" s="2">
        <v>46752</v>
      </c>
    </row>
    <row r="234" spans="1:3" x14ac:dyDescent="0.4">
      <c r="A234" s="1" t="s">
        <v>514</v>
      </c>
      <c r="B234" s="1" t="str">
        <f>"尾道市古浜町6-23"</f>
        <v>尾道市古浜町6-23</v>
      </c>
      <c r="C234" s="2">
        <v>46387</v>
      </c>
    </row>
    <row r="235" spans="1:3" x14ac:dyDescent="0.4">
      <c r="A235" s="1" t="s">
        <v>102</v>
      </c>
      <c r="B235" s="1" t="str">
        <f>"尾道市古浜町9-1"</f>
        <v>尾道市古浜町9-1</v>
      </c>
      <c r="C235" s="2">
        <v>46022</v>
      </c>
    </row>
    <row r="236" spans="1:3" x14ac:dyDescent="0.4">
      <c r="A236" s="1" t="s">
        <v>859</v>
      </c>
      <c r="B236" s="1" t="str">
        <f>"尾道市御調町丸河南595-4"</f>
        <v>尾道市御調町丸河南595-4</v>
      </c>
      <c r="C236" s="2">
        <v>46387</v>
      </c>
    </row>
    <row r="237" spans="1:3" x14ac:dyDescent="0.4">
      <c r="A237" s="1" t="s">
        <v>541</v>
      </c>
      <c r="B237" s="1" t="s">
        <v>542</v>
      </c>
      <c r="C237" s="2">
        <v>46022</v>
      </c>
    </row>
    <row r="238" spans="1:3" x14ac:dyDescent="0.4">
      <c r="A238" s="1" t="s">
        <v>163</v>
      </c>
      <c r="B238" s="1" t="s">
        <v>371</v>
      </c>
      <c r="C238" s="2">
        <v>46387</v>
      </c>
    </row>
    <row r="239" spans="1:3" x14ac:dyDescent="0.4">
      <c r="A239" s="1" t="s">
        <v>540</v>
      </c>
      <c r="B239" s="1" t="str">
        <f>"尾道市御調町神102-17"</f>
        <v>尾道市御調町神102-17</v>
      </c>
      <c r="C239" s="2">
        <v>46022</v>
      </c>
    </row>
    <row r="240" spans="1:3" x14ac:dyDescent="0.4">
      <c r="A240" s="1" t="s">
        <v>857</v>
      </c>
      <c r="B240" s="1" t="s">
        <v>115</v>
      </c>
      <c r="C240" s="2">
        <v>46387</v>
      </c>
    </row>
    <row r="241" spans="1:3" x14ac:dyDescent="0.4">
      <c r="A241" s="1" t="s">
        <v>528</v>
      </c>
      <c r="B241" s="1" t="str">
        <f>"尾道市向島町14763-3"</f>
        <v>尾道市向島町14763-3</v>
      </c>
      <c r="C241" s="2">
        <v>46387</v>
      </c>
    </row>
    <row r="242" spans="1:3" x14ac:dyDescent="0.4">
      <c r="A242" s="1" t="s">
        <v>545</v>
      </c>
      <c r="B242" s="1" t="str">
        <f>"尾道市向島町542-18"</f>
        <v>尾道市向島町542-18</v>
      </c>
      <c r="C242" s="2">
        <v>47118</v>
      </c>
    </row>
    <row r="243" spans="1:3" x14ac:dyDescent="0.4">
      <c r="A243" s="1" t="s">
        <v>363</v>
      </c>
      <c r="B243" s="1" t="str">
        <f>"尾道市向島町5437-1"</f>
        <v>尾道市向島町5437-1</v>
      </c>
      <c r="C243" s="2">
        <v>46387</v>
      </c>
    </row>
    <row r="244" spans="1:3" x14ac:dyDescent="0.4">
      <c r="A244" s="1" t="s">
        <v>861</v>
      </c>
      <c r="B244" s="1" t="str">
        <f>"尾道市向島町5454-2"</f>
        <v>尾道市向島町5454-2</v>
      </c>
      <c r="C244" s="2">
        <v>46387</v>
      </c>
    </row>
    <row r="245" spans="1:3" x14ac:dyDescent="0.4">
      <c r="A245" s="1" t="s">
        <v>535</v>
      </c>
      <c r="B245" s="1" t="str">
        <f>"尾道市向島町5617-50"</f>
        <v>尾道市向島町5617-50</v>
      </c>
      <c r="C245" s="2">
        <v>46387</v>
      </c>
    </row>
    <row r="246" spans="1:3" x14ac:dyDescent="0.4">
      <c r="A246" s="1" t="s">
        <v>858</v>
      </c>
      <c r="B246" s="1" t="str">
        <f>"尾道市向島町576-3"</f>
        <v>尾道市向島町576-3</v>
      </c>
      <c r="C246" s="2">
        <v>46387</v>
      </c>
    </row>
    <row r="247" spans="1:3" x14ac:dyDescent="0.4">
      <c r="A247" s="1" t="s">
        <v>55</v>
      </c>
      <c r="B247" s="1" t="str">
        <f>"尾道市向島町5883-5"</f>
        <v>尾道市向島町5883-5</v>
      </c>
      <c r="C247" s="2">
        <v>46387</v>
      </c>
    </row>
    <row r="248" spans="1:3" x14ac:dyDescent="0.4">
      <c r="A248" s="1" t="s">
        <v>860</v>
      </c>
      <c r="B248" s="1" t="str">
        <f>"尾道市向島町5901-3"</f>
        <v>尾道市向島町5901-3</v>
      </c>
      <c r="C248" s="2">
        <v>46387</v>
      </c>
    </row>
    <row r="249" spans="1:3" x14ac:dyDescent="0.4">
      <c r="A249" s="1" t="s">
        <v>513</v>
      </c>
      <c r="B249" s="1" t="str">
        <f>"尾道市向東町1014-5"</f>
        <v>尾道市向東町1014-5</v>
      </c>
      <c r="C249" s="2">
        <v>46387</v>
      </c>
    </row>
    <row r="250" spans="1:3" x14ac:dyDescent="0.4">
      <c r="A250" s="1" t="s">
        <v>353</v>
      </c>
      <c r="B250" s="1" t="str">
        <f>"尾道市向東町3568-1"</f>
        <v>尾道市向東町3568-1</v>
      </c>
      <c r="C250" s="2">
        <v>46387</v>
      </c>
    </row>
    <row r="251" spans="1:3" x14ac:dyDescent="0.4">
      <c r="A251" s="1" t="s">
        <v>302</v>
      </c>
      <c r="B251" s="1" t="str">
        <f>"尾道市高須町1288-7"</f>
        <v>尾道市高須町1288-7</v>
      </c>
      <c r="C251" s="2">
        <v>46387</v>
      </c>
    </row>
    <row r="252" spans="1:3" x14ac:dyDescent="0.4">
      <c r="A252" s="1" t="s">
        <v>523</v>
      </c>
      <c r="B252" s="1" t="str">
        <f>"尾道市高須町1382-1"</f>
        <v>尾道市高須町1382-1</v>
      </c>
      <c r="C252" s="2">
        <v>46387</v>
      </c>
    </row>
    <row r="253" spans="1:3" x14ac:dyDescent="0.4">
      <c r="A253" s="1" t="s">
        <v>396</v>
      </c>
      <c r="B253" s="1" t="str">
        <f>"尾道市高須町3656-3"</f>
        <v>尾道市高須町3656-3</v>
      </c>
      <c r="C253" s="2">
        <v>46387</v>
      </c>
    </row>
    <row r="254" spans="1:3" x14ac:dyDescent="0.4">
      <c r="A254" s="1" t="s">
        <v>524</v>
      </c>
      <c r="B254" s="1" t="str">
        <f>"尾道市高須町4754-5"</f>
        <v>尾道市高須町4754-5</v>
      </c>
      <c r="C254" s="2">
        <v>46387</v>
      </c>
    </row>
    <row r="255" spans="1:3" x14ac:dyDescent="0.4">
      <c r="A255" s="1" t="s">
        <v>240</v>
      </c>
      <c r="B255" s="1" t="str">
        <f>"尾道市高須町4755-5"</f>
        <v>尾道市高須町4755-5</v>
      </c>
      <c r="C255" s="2">
        <v>46387</v>
      </c>
    </row>
    <row r="256" spans="1:3" x14ac:dyDescent="0.4">
      <c r="A256" s="1" t="s">
        <v>522</v>
      </c>
      <c r="B256" s="1" t="str">
        <f>"尾道市高須町4763-19"</f>
        <v>尾道市高須町4763-19</v>
      </c>
      <c r="C256" s="2">
        <v>46387</v>
      </c>
    </row>
    <row r="257" spans="1:3" x14ac:dyDescent="0.4">
      <c r="A257" s="1" t="s">
        <v>252</v>
      </c>
      <c r="B257" s="1" t="str">
        <f>"尾道市高須町4774-1"</f>
        <v>尾道市高須町4774-1</v>
      </c>
      <c r="C257" s="2">
        <v>46387</v>
      </c>
    </row>
    <row r="258" spans="1:3" x14ac:dyDescent="0.4">
      <c r="A258" s="1" t="s">
        <v>367</v>
      </c>
      <c r="B258" s="1" t="str">
        <f>"尾道市高須町4788-11-102"</f>
        <v>尾道市高須町4788-11-102</v>
      </c>
      <c r="C258" s="2">
        <v>46387</v>
      </c>
    </row>
    <row r="259" spans="1:3" x14ac:dyDescent="0.4">
      <c r="A259" s="1" t="s">
        <v>372</v>
      </c>
      <c r="B259" s="1" t="str">
        <f>"尾道市高須町4803-12"</f>
        <v>尾道市高須町4803-12</v>
      </c>
      <c r="C259" s="2">
        <v>46387</v>
      </c>
    </row>
    <row r="260" spans="1:3" x14ac:dyDescent="0.4">
      <c r="A260" s="1" t="s">
        <v>166</v>
      </c>
      <c r="B260" s="1" t="s">
        <v>544</v>
      </c>
      <c r="C260" s="2">
        <v>47118</v>
      </c>
    </row>
    <row r="261" spans="1:3" x14ac:dyDescent="0.4">
      <c r="A261" s="1" t="s">
        <v>519</v>
      </c>
      <c r="B261" s="1" t="s">
        <v>520</v>
      </c>
      <c r="C261" s="2">
        <v>46387</v>
      </c>
    </row>
    <row r="262" spans="1:3" x14ac:dyDescent="0.4">
      <c r="A262" s="1" t="s">
        <v>144</v>
      </c>
      <c r="B262" s="1" t="str">
        <f>"尾道市高須町924-5"</f>
        <v>尾道市高須町924-5</v>
      </c>
      <c r="C262" s="2">
        <v>46387</v>
      </c>
    </row>
    <row r="263" spans="1:3" x14ac:dyDescent="0.4">
      <c r="A263" s="1" t="s">
        <v>27</v>
      </c>
      <c r="B263" s="1" t="str">
        <f>"尾道市三軒家町17-14"</f>
        <v>尾道市三軒家町17-14</v>
      </c>
      <c r="C263" s="2">
        <v>46387</v>
      </c>
    </row>
    <row r="264" spans="1:3" x14ac:dyDescent="0.4">
      <c r="A264" s="1" t="s">
        <v>276</v>
      </c>
      <c r="B264" s="1" t="str">
        <f>"尾道市十四日元町3-5"</f>
        <v>尾道市十四日元町3-5</v>
      </c>
      <c r="C264" s="2">
        <v>47118</v>
      </c>
    </row>
    <row r="265" spans="1:3" x14ac:dyDescent="0.4">
      <c r="A265" s="1" t="s">
        <v>512</v>
      </c>
      <c r="B265" s="1" t="str">
        <f>"尾道市十四日元町6-12"</f>
        <v>尾道市十四日元町6-12</v>
      </c>
      <c r="C265" s="2">
        <v>46387</v>
      </c>
    </row>
    <row r="266" spans="1:3" x14ac:dyDescent="0.4">
      <c r="A266" s="1" t="s">
        <v>532</v>
      </c>
      <c r="B266" s="1" t="str">
        <f>"尾道市新高山3-1170-109"</f>
        <v>尾道市新高山3-1170-109</v>
      </c>
      <c r="C266" s="2">
        <v>46387</v>
      </c>
    </row>
    <row r="267" spans="1:3" x14ac:dyDescent="0.4">
      <c r="A267" s="1" t="s">
        <v>93</v>
      </c>
      <c r="B267" s="1" t="str">
        <f>"尾道市新高山3-1170-214"</f>
        <v>尾道市新高山3-1170-214</v>
      </c>
      <c r="C267" s="2">
        <v>46387</v>
      </c>
    </row>
    <row r="268" spans="1:3" x14ac:dyDescent="0.4">
      <c r="A268" s="1" t="s">
        <v>400</v>
      </c>
      <c r="B268" s="1" t="str">
        <f>"尾道市新高山3-1170-247"</f>
        <v>尾道市新高山3-1170-247</v>
      </c>
      <c r="C268" s="2">
        <v>46387</v>
      </c>
    </row>
    <row r="269" spans="1:3" x14ac:dyDescent="0.4">
      <c r="A269" s="1" t="s">
        <v>172</v>
      </c>
      <c r="B269" s="1" t="str">
        <f>"尾道市新高山3-1170-248"</f>
        <v>尾道市新高山3-1170-248</v>
      </c>
      <c r="C269" s="2">
        <v>46387</v>
      </c>
    </row>
    <row r="270" spans="1:3" x14ac:dyDescent="0.4">
      <c r="A270" s="1" t="s">
        <v>539</v>
      </c>
      <c r="B270" s="1" t="str">
        <f>"尾道市新浜1-14-22"</f>
        <v>尾道市新浜1-14-22</v>
      </c>
      <c r="C270" s="2">
        <v>45657</v>
      </c>
    </row>
    <row r="271" spans="1:3" x14ac:dyDescent="0.4">
      <c r="A271" s="1" t="s">
        <v>39</v>
      </c>
      <c r="B271" s="1" t="str">
        <f>"尾道市新浜1-7-7"</f>
        <v>尾道市新浜1-7-7</v>
      </c>
      <c r="C271" s="2">
        <v>47118</v>
      </c>
    </row>
    <row r="272" spans="1:3" x14ac:dyDescent="0.4">
      <c r="A272" s="1" t="s">
        <v>428</v>
      </c>
      <c r="B272" s="1" t="str">
        <f>"尾道市新浜1-9-1"</f>
        <v>尾道市新浜1-9-1</v>
      </c>
      <c r="C272" s="2">
        <v>46387</v>
      </c>
    </row>
    <row r="273" spans="1:3" x14ac:dyDescent="0.4">
      <c r="A273" s="1" t="s">
        <v>36</v>
      </c>
      <c r="B273" s="1" t="str">
        <f>"尾道市新浜2-10-16"</f>
        <v>尾道市新浜2-10-16</v>
      </c>
      <c r="C273" s="2">
        <v>46387</v>
      </c>
    </row>
    <row r="274" spans="1:3" x14ac:dyDescent="0.4">
      <c r="A274" s="1" t="s">
        <v>518</v>
      </c>
      <c r="B274" s="1" t="str">
        <f>"尾道市新浜2-2-1"</f>
        <v>尾道市新浜2-2-1</v>
      </c>
      <c r="C274" s="2">
        <v>46387</v>
      </c>
    </row>
    <row r="275" spans="1:3" x14ac:dyDescent="0.4">
      <c r="A275" s="1" t="s">
        <v>393</v>
      </c>
      <c r="B275" s="1" t="str">
        <f>"尾道市神田町3-11"</f>
        <v>尾道市神田町3-11</v>
      </c>
      <c r="C275" s="2">
        <v>46387</v>
      </c>
    </row>
    <row r="276" spans="1:3" x14ac:dyDescent="0.4">
      <c r="A276" s="1" t="s">
        <v>390</v>
      </c>
      <c r="B276" s="1" t="str">
        <f>"尾道市神田町3-24"</f>
        <v>尾道市神田町3-24</v>
      </c>
      <c r="C276" s="2">
        <v>47483</v>
      </c>
    </row>
    <row r="277" spans="1:3" x14ac:dyDescent="0.4">
      <c r="A277" s="1" t="s">
        <v>361</v>
      </c>
      <c r="B277" s="1" t="str">
        <f>"尾道市瀬戸田町瀬戸田313-1"</f>
        <v>尾道市瀬戸田町瀬戸田313-1</v>
      </c>
      <c r="C277" s="2">
        <v>46387</v>
      </c>
    </row>
    <row r="278" spans="1:3" x14ac:dyDescent="0.4">
      <c r="A278" s="1" t="s">
        <v>24</v>
      </c>
      <c r="B278" s="1" t="str">
        <f>"尾道市瀬戸田町中野402-1"</f>
        <v>尾道市瀬戸田町中野402-1</v>
      </c>
      <c r="C278" s="2">
        <v>46387</v>
      </c>
    </row>
    <row r="279" spans="1:3" x14ac:dyDescent="0.4">
      <c r="A279" s="1" t="s">
        <v>379</v>
      </c>
      <c r="B279" s="1" t="str">
        <f>"尾道市西久保町12-30"</f>
        <v>尾道市西久保町12-30</v>
      </c>
      <c r="C279" s="2">
        <v>46387</v>
      </c>
    </row>
    <row r="280" spans="1:3" x14ac:dyDescent="0.4">
      <c r="A280" s="1" t="s">
        <v>59</v>
      </c>
      <c r="B280" s="1" t="str">
        <f>"尾道市西御所町2-16"</f>
        <v>尾道市西御所町2-16</v>
      </c>
      <c r="C280" s="2">
        <v>46387</v>
      </c>
    </row>
    <row r="281" spans="1:3" x14ac:dyDescent="0.4">
      <c r="A281" s="1" t="s">
        <v>445</v>
      </c>
      <c r="B281" s="1" t="str">
        <f>"尾道市西御所町6-27"</f>
        <v>尾道市西御所町6-27</v>
      </c>
      <c r="C281" s="2">
        <v>46387</v>
      </c>
    </row>
    <row r="282" spans="1:3" x14ac:dyDescent="0.4">
      <c r="A282" s="1" t="s">
        <v>527</v>
      </c>
      <c r="B282" s="1" t="str">
        <f>"尾道市西御所町8-11"</f>
        <v>尾道市西御所町8-11</v>
      </c>
      <c r="C282" s="2">
        <v>46387</v>
      </c>
    </row>
    <row r="283" spans="1:3" x14ac:dyDescent="0.4">
      <c r="A283" s="1" t="s">
        <v>80</v>
      </c>
      <c r="B283" s="1" t="str">
        <f>"尾道市長江1-23-7"</f>
        <v>尾道市長江1-23-7</v>
      </c>
      <c r="C283" s="2">
        <v>46387</v>
      </c>
    </row>
    <row r="284" spans="1:3" x14ac:dyDescent="0.4">
      <c r="A284" s="1" t="s">
        <v>319</v>
      </c>
      <c r="B284" s="1" t="str">
        <f>"尾道市天満町16-14-7"</f>
        <v>尾道市天満町16-14-7</v>
      </c>
      <c r="C284" s="2">
        <v>46022</v>
      </c>
    </row>
    <row r="285" spans="1:3" x14ac:dyDescent="0.4">
      <c r="A285" s="1" t="s">
        <v>225</v>
      </c>
      <c r="B285" s="1" t="str">
        <f>"尾道市天満町17-50"</f>
        <v>尾道市天満町17-50</v>
      </c>
      <c r="C285" s="2">
        <v>46022</v>
      </c>
    </row>
    <row r="286" spans="1:3" x14ac:dyDescent="0.4">
      <c r="A286" s="1" t="s">
        <v>369</v>
      </c>
      <c r="B286" s="1" t="str">
        <f>"尾道市土堂1-1-12"</f>
        <v>尾道市土堂1-1-12</v>
      </c>
      <c r="C286" s="2">
        <v>46387</v>
      </c>
    </row>
    <row r="287" spans="1:3" x14ac:dyDescent="0.4">
      <c r="A287" s="1" t="s">
        <v>511</v>
      </c>
      <c r="B287" s="1" t="str">
        <f>"尾道市土堂2-2-16"</f>
        <v>尾道市土堂2-2-16</v>
      </c>
      <c r="C287" s="2">
        <v>46387</v>
      </c>
    </row>
    <row r="288" spans="1:3" x14ac:dyDescent="0.4">
      <c r="A288" s="1" t="s">
        <v>397</v>
      </c>
      <c r="B288" s="1" t="str">
        <f>"尾道市土堂2-4-25"</f>
        <v>尾道市土堂2-4-25</v>
      </c>
      <c r="C288" s="2">
        <v>46387</v>
      </c>
    </row>
    <row r="289" spans="1:3" x14ac:dyDescent="0.4">
      <c r="A289" s="1" t="s">
        <v>296</v>
      </c>
      <c r="B289" s="1" t="str">
        <f>"尾道市土堂2-4-28"</f>
        <v>尾道市土堂2-4-28</v>
      </c>
      <c r="C289" s="2">
        <v>46387</v>
      </c>
    </row>
    <row r="290" spans="1:3" x14ac:dyDescent="0.4">
      <c r="A290" s="1" t="s">
        <v>180</v>
      </c>
      <c r="B290" s="1" t="str">
        <f>"尾道市土堂2-6-18"</f>
        <v>尾道市土堂2-6-18</v>
      </c>
      <c r="C290" s="2">
        <v>46387</v>
      </c>
    </row>
    <row r="291" spans="1:3" x14ac:dyDescent="0.4">
      <c r="A291" s="1" t="s">
        <v>267</v>
      </c>
      <c r="B291" s="1" t="str">
        <f>"尾道市東元町25-18"</f>
        <v>尾道市東元町25-18</v>
      </c>
      <c r="C291" s="2">
        <v>46387</v>
      </c>
    </row>
    <row r="292" spans="1:3" x14ac:dyDescent="0.4">
      <c r="A292" s="1" t="s">
        <v>145</v>
      </c>
      <c r="B292" s="1" t="str">
        <f>"尾道市美ノ郷町三成1066-6"</f>
        <v>尾道市美ノ郷町三成1066-6</v>
      </c>
      <c r="C292" s="2">
        <v>46387</v>
      </c>
    </row>
    <row r="293" spans="1:3" x14ac:dyDescent="0.4">
      <c r="A293" s="1" t="s">
        <v>238</v>
      </c>
      <c r="B293" s="1" t="str">
        <f>"尾道市美ノ郷町三成226-4"</f>
        <v>尾道市美ノ郷町三成226-4</v>
      </c>
      <c r="C293" s="2">
        <v>46387</v>
      </c>
    </row>
    <row r="294" spans="1:3" x14ac:dyDescent="0.4">
      <c r="A294" s="1" t="s">
        <v>482</v>
      </c>
      <c r="B294" s="1" t="str">
        <f>"尾道市平原1-10-25"</f>
        <v>尾道市平原1-10-25</v>
      </c>
      <c r="C294" s="2">
        <v>46387</v>
      </c>
    </row>
    <row r="295" spans="1:3" x14ac:dyDescent="0.4">
      <c r="A295" s="1" t="s">
        <v>531</v>
      </c>
      <c r="B295" s="1" t="str">
        <f>"尾道市平原1-20-41"</f>
        <v>尾道市平原1-20-41</v>
      </c>
      <c r="C295" s="2">
        <v>46387</v>
      </c>
    </row>
    <row r="296" spans="1:3" x14ac:dyDescent="0.4">
      <c r="A296" s="1" t="s">
        <v>13</v>
      </c>
      <c r="B296" s="1" t="str">
        <f>"尾道市平原1-20-44"</f>
        <v>尾道市平原1-20-44</v>
      </c>
      <c r="C296" s="2">
        <v>46387</v>
      </c>
    </row>
    <row r="297" spans="1:3" x14ac:dyDescent="0.4">
      <c r="A297" s="1" t="s">
        <v>529</v>
      </c>
      <c r="B297" s="1" t="str">
        <f>"尾道市平原1-20-46"</f>
        <v>尾道市平原1-20-46</v>
      </c>
      <c r="C297" s="2">
        <v>46387</v>
      </c>
    </row>
    <row r="298" spans="1:3" x14ac:dyDescent="0.4">
      <c r="A298" s="1" t="s">
        <v>151</v>
      </c>
      <c r="B298" s="1" t="str">
        <f>"尾道市平原1-20-50"</f>
        <v>尾道市平原1-20-50</v>
      </c>
      <c r="C298" s="2">
        <v>46387</v>
      </c>
    </row>
    <row r="299" spans="1:3" x14ac:dyDescent="0.4">
      <c r="A299" s="1" t="s">
        <v>0</v>
      </c>
      <c r="B299" s="1" t="str">
        <f>"尾道市門田町1-41"</f>
        <v>尾道市門田町1-41</v>
      </c>
      <c r="C299" s="2">
        <v>46387</v>
      </c>
    </row>
    <row r="300" spans="1:3" x14ac:dyDescent="0.4">
      <c r="A300" s="1" t="s">
        <v>651</v>
      </c>
      <c r="B300" s="1" t="str">
        <f>"福山市芦田町下有地993-1"</f>
        <v>福山市芦田町下有地993-1</v>
      </c>
      <c r="C300" s="2">
        <v>47118</v>
      </c>
    </row>
    <row r="301" spans="1:3" x14ac:dyDescent="0.4">
      <c r="A301" s="1" t="s">
        <v>229</v>
      </c>
      <c r="B301" s="1" t="str">
        <f>"福山市伊勢丘3-3-1"</f>
        <v>福山市伊勢丘3-3-1</v>
      </c>
      <c r="C301" s="2">
        <v>46387</v>
      </c>
    </row>
    <row r="302" spans="1:3" x14ac:dyDescent="0.4">
      <c r="A302" s="1" t="s">
        <v>120</v>
      </c>
      <c r="B302" s="1" t="str">
        <f>"福山市伊勢丘5-1-23"</f>
        <v>福山市伊勢丘5-1-23</v>
      </c>
      <c r="C302" s="2">
        <v>46387</v>
      </c>
    </row>
    <row r="303" spans="1:3" x14ac:dyDescent="0.4">
      <c r="A303" s="1" t="s">
        <v>381</v>
      </c>
      <c r="B303" s="1" t="str">
        <f>"福山市伊勢丘5-6-2"</f>
        <v>福山市伊勢丘5-6-2</v>
      </c>
      <c r="C303" s="2">
        <v>46387</v>
      </c>
    </row>
    <row r="304" spans="1:3" x14ac:dyDescent="0.4">
      <c r="A304" s="1" t="s">
        <v>521</v>
      </c>
      <c r="B304" s="1" t="str">
        <f>"福山市伊勢丘6-1-25"</f>
        <v>福山市伊勢丘6-1-25</v>
      </c>
      <c r="C304" s="2">
        <v>46387</v>
      </c>
    </row>
    <row r="305" spans="1:3" x14ac:dyDescent="0.4">
      <c r="A305" s="1" t="s">
        <v>99</v>
      </c>
      <c r="B305" s="1" t="str">
        <f>"福山市引野町3-35-11"</f>
        <v>福山市引野町3-35-11</v>
      </c>
      <c r="C305" s="2">
        <v>46387</v>
      </c>
    </row>
    <row r="306" spans="1:3" x14ac:dyDescent="0.4">
      <c r="A306" s="1" t="s">
        <v>108</v>
      </c>
      <c r="B306" s="1" t="str">
        <f>"福山市引野町5-21-36"</f>
        <v>福山市引野町5-21-36</v>
      </c>
      <c r="C306" s="2">
        <v>46387</v>
      </c>
    </row>
    <row r="307" spans="1:3" x14ac:dyDescent="0.4">
      <c r="A307" s="1" t="s">
        <v>635</v>
      </c>
      <c r="B307" s="1" t="str">
        <f>"福山市引野町北5-8-16"</f>
        <v>福山市引野町北5-8-16</v>
      </c>
      <c r="C307" s="2">
        <v>46387</v>
      </c>
    </row>
    <row r="308" spans="1:3" x14ac:dyDescent="0.4">
      <c r="A308" s="1" t="s">
        <v>629</v>
      </c>
      <c r="B308" s="1" t="str">
        <f>"福山市駅家町近田117-6"</f>
        <v>福山市駅家町近田117-6</v>
      </c>
      <c r="C308" s="2">
        <v>46022</v>
      </c>
    </row>
    <row r="309" spans="1:3" x14ac:dyDescent="0.4">
      <c r="A309" s="1" t="s">
        <v>469</v>
      </c>
      <c r="B309" s="1" t="str">
        <f>"福山市駅家町近田233-1"</f>
        <v>福山市駅家町近田233-1</v>
      </c>
      <c r="C309" s="2">
        <v>46752</v>
      </c>
    </row>
    <row r="310" spans="1:3" x14ac:dyDescent="0.4">
      <c r="A310" s="1" t="s">
        <v>606</v>
      </c>
      <c r="B310" s="1" t="str">
        <f>"福山市駅家町近田586-2"</f>
        <v>福山市駅家町近田586-2</v>
      </c>
      <c r="C310" s="2">
        <v>46387</v>
      </c>
    </row>
    <row r="311" spans="1:3" x14ac:dyDescent="0.4">
      <c r="A311" s="1" t="s">
        <v>149</v>
      </c>
      <c r="B311" s="1" t="str">
        <f>"福山市駅家町向永谷666-1"</f>
        <v>福山市駅家町向永谷666-1</v>
      </c>
      <c r="C311" s="2">
        <v>46387</v>
      </c>
    </row>
    <row r="312" spans="1:3" x14ac:dyDescent="0.4">
      <c r="A312" s="1" t="s">
        <v>386</v>
      </c>
      <c r="B312" s="1" t="s">
        <v>124</v>
      </c>
      <c r="C312" s="2">
        <v>46387</v>
      </c>
    </row>
    <row r="313" spans="1:3" x14ac:dyDescent="0.4">
      <c r="A313" s="1" t="s">
        <v>153</v>
      </c>
      <c r="B313" s="1" t="str">
        <f>"福山市駅家町上山守213-1"</f>
        <v>福山市駅家町上山守213-1</v>
      </c>
      <c r="C313" s="2">
        <v>46387</v>
      </c>
    </row>
    <row r="314" spans="1:3" x14ac:dyDescent="0.4">
      <c r="A314" s="1" t="s">
        <v>617</v>
      </c>
      <c r="B314" s="1" t="str">
        <f>"福山市駅家町上山守450-5"</f>
        <v>福山市駅家町上山守450-5</v>
      </c>
      <c r="C314" s="2">
        <v>46752</v>
      </c>
    </row>
    <row r="315" spans="1:3" x14ac:dyDescent="0.4">
      <c r="A315" s="1" t="s">
        <v>628</v>
      </c>
      <c r="B315" s="1" t="str">
        <f>"福山市駅家町倉光156-3"</f>
        <v>福山市駅家町倉光156-3</v>
      </c>
      <c r="C315" s="2">
        <v>46022</v>
      </c>
    </row>
    <row r="316" spans="1:3" x14ac:dyDescent="0.4">
      <c r="A316" s="1" t="s">
        <v>12</v>
      </c>
      <c r="B316" s="1" t="str">
        <f>"福山市駅家町倉光306-7"</f>
        <v>福山市駅家町倉光306-7</v>
      </c>
      <c r="C316" s="2">
        <v>46387</v>
      </c>
    </row>
    <row r="317" spans="1:3" x14ac:dyDescent="0.4">
      <c r="A317" s="1" t="s">
        <v>645</v>
      </c>
      <c r="B317" s="1" t="str">
        <f>"福山市駅家町法成寺108-8"</f>
        <v>福山市駅家町法成寺108-8</v>
      </c>
      <c r="C317" s="2">
        <v>46752</v>
      </c>
    </row>
    <row r="318" spans="1:3" x14ac:dyDescent="0.4">
      <c r="A318" s="1" t="s">
        <v>589</v>
      </c>
      <c r="B318" s="1" t="str">
        <f>"福山市駅家町万能倉1111-10"</f>
        <v>福山市駅家町万能倉1111-10</v>
      </c>
      <c r="C318" s="2">
        <v>46387</v>
      </c>
    </row>
    <row r="319" spans="1:3" x14ac:dyDescent="0.4">
      <c r="A319" s="1" t="s">
        <v>530</v>
      </c>
      <c r="B319" s="1" t="str">
        <f>"福山市駅家町万能倉1246-2"</f>
        <v>福山市駅家町万能倉1246-2</v>
      </c>
      <c r="C319" s="2">
        <v>46387</v>
      </c>
    </row>
    <row r="320" spans="1:3" x14ac:dyDescent="0.4">
      <c r="A320" s="1" t="s">
        <v>583</v>
      </c>
      <c r="B320" s="1" t="str">
        <f>"福山市駅家町万能倉728-7"</f>
        <v>福山市駅家町万能倉728-7</v>
      </c>
      <c r="C320" s="2">
        <v>46387</v>
      </c>
    </row>
    <row r="321" spans="1:3" x14ac:dyDescent="0.4">
      <c r="A321" s="1" t="s">
        <v>621</v>
      </c>
      <c r="B321" s="1" t="str">
        <f>"福山市駅家町万能倉786-6"</f>
        <v>福山市駅家町万能倉786-6</v>
      </c>
      <c r="C321" s="2">
        <v>46022</v>
      </c>
    </row>
    <row r="322" spans="1:3" x14ac:dyDescent="0.4">
      <c r="A322" s="1" t="s">
        <v>91</v>
      </c>
      <c r="B322" s="1" t="str">
        <f>"福山市駅家町万能倉910-14"</f>
        <v>福山市駅家町万能倉910-14</v>
      </c>
      <c r="C322" s="2">
        <v>46387</v>
      </c>
    </row>
    <row r="323" spans="1:3" x14ac:dyDescent="0.4">
      <c r="A323" s="1" t="s">
        <v>595</v>
      </c>
      <c r="B323" s="1" t="str">
        <f>"福山市駅家町万能倉98-5"</f>
        <v>福山市駅家町万能倉98-5</v>
      </c>
      <c r="C323" s="2">
        <v>46387</v>
      </c>
    </row>
    <row r="324" spans="1:3" x14ac:dyDescent="0.4">
      <c r="A324" s="1" t="s">
        <v>425</v>
      </c>
      <c r="B324" s="1" t="str">
        <f>"福山市沖野上町3-2-13-102"</f>
        <v>福山市沖野上町3-2-13-102</v>
      </c>
      <c r="C324" s="2">
        <v>47118</v>
      </c>
    </row>
    <row r="325" spans="1:3" x14ac:dyDescent="0.4">
      <c r="A325" s="1" t="s">
        <v>579</v>
      </c>
      <c r="B325" s="1" t="str">
        <f>"福山市沖野上町3-4-17"</f>
        <v>福山市沖野上町3-4-17</v>
      </c>
      <c r="C325" s="2">
        <v>46387</v>
      </c>
    </row>
    <row r="326" spans="1:3" x14ac:dyDescent="0.4">
      <c r="A326" s="1" t="s">
        <v>92</v>
      </c>
      <c r="B326" s="1" t="str">
        <f>"福山市沖野上町3-6-27"</f>
        <v>福山市沖野上町3-6-27</v>
      </c>
      <c r="C326" s="2">
        <v>45657</v>
      </c>
    </row>
    <row r="327" spans="1:3" x14ac:dyDescent="0.4">
      <c r="A327" s="1" t="s">
        <v>584</v>
      </c>
      <c r="B327" s="1" t="str">
        <f>"福山市沖野上町4-13-12"</f>
        <v>福山市沖野上町4-13-12</v>
      </c>
      <c r="C327" s="2">
        <v>46387</v>
      </c>
    </row>
    <row r="328" spans="1:3" x14ac:dyDescent="0.4">
      <c r="A328" s="1" t="s">
        <v>412</v>
      </c>
      <c r="B328" s="1" t="str">
        <f>"福山市沖野上町4-15-23"</f>
        <v>福山市沖野上町4-15-23</v>
      </c>
      <c r="C328" s="2">
        <v>46387</v>
      </c>
    </row>
    <row r="329" spans="1:3" x14ac:dyDescent="0.4">
      <c r="A329" s="1" t="s">
        <v>555</v>
      </c>
      <c r="B329" s="1" t="str">
        <f>"福山市沖野上町4-21-33"</f>
        <v>福山市沖野上町4-21-33</v>
      </c>
      <c r="C329" s="2">
        <v>46387</v>
      </c>
    </row>
    <row r="330" spans="1:3" x14ac:dyDescent="0.4">
      <c r="A330" s="1" t="s">
        <v>655</v>
      </c>
      <c r="B330" s="1" t="str">
        <f>"福山市沖野上町4-22-30"</f>
        <v>福山市沖野上町4-22-30</v>
      </c>
      <c r="C330" s="2">
        <v>47118</v>
      </c>
    </row>
    <row r="331" spans="1:3" x14ac:dyDescent="0.4">
      <c r="A331" s="1" t="s">
        <v>283</v>
      </c>
      <c r="B331" s="1" t="str">
        <f>"福山市沖野上町4-3-33"</f>
        <v>福山市沖野上町4-3-33</v>
      </c>
      <c r="C331" s="2">
        <v>46387</v>
      </c>
    </row>
    <row r="332" spans="1:3" x14ac:dyDescent="0.4">
      <c r="A332" s="1" t="s">
        <v>125</v>
      </c>
      <c r="B332" s="1" t="str">
        <f>"福山市沖野上町6-9-13"</f>
        <v>福山市沖野上町6-9-13</v>
      </c>
      <c r="C332" s="2">
        <v>47118</v>
      </c>
    </row>
    <row r="333" spans="1:3" x14ac:dyDescent="0.4">
      <c r="A333" s="1" t="s">
        <v>137</v>
      </c>
      <c r="B333" s="1" t="str">
        <f>"福山市加茂町下加茂59-1"</f>
        <v>福山市加茂町下加茂59-1</v>
      </c>
      <c r="C333" s="2">
        <v>47118</v>
      </c>
    </row>
    <row r="334" spans="1:3" x14ac:dyDescent="0.4">
      <c r="A334" s="1" t="s">
        <v>157</v>
      </c>
      <c r="B334" s="1" t="str">
        <f>"福山市加茂町下加茂992-3"</f>
        <v>福山市加茂町下加茂992-3</v>
      </c>
      <c r="C334" s="2">
        <v>46387</v>
      </c>
    </row>
    <row r="335" spans="1:3" x14ac:dyDescent="0.4">
      <c r="A335" s="1" t="s">
        <v>618</v>
      </c>
      <c r="B335" s="1" t="str">
        <f>"福山市加茂町上加茂392-1"</f>
        <v>福山市加茂町上加茂392-1</v>
      </c>
      <c r="C335" s="2">
        <v>46752</v>
      </c>
    </row>
    <row r="336" spans="1:3" x14ac:dyDescent="0.4">
      <c r="A336" s="1" t="s">
        <v>611</v>
      </c>
      <c r="B336" s="1" t="str">
        <f>"福山市加茂町中野403-23"</f>
        <v>福山市加茂町中野403-23</v>
      </c>
      <c r="C336" s="2">
        <v>46387</v>
      </c>
    </row>
    <row r="337" spans="1:3" x14ac:dyDescent="0.4">
      <c r="A337" s="1" t="s">
        <v>633</v>
      </c>
      <c r="B337" s="1" t="str">
        <f>"福山市花園町1-3-12"</f>
        <v>福山市花園町1-3-12</v>
      </c>
      <c r="C337" s="2">
        <v>46022</v>
      </c>
    </row>
    <row r="338" spans="1:3" x14ac:dyDescent="0.4">
      <c r="A338" s="1" t="s">
        <v>208</v>
      </c>
      <c r="B338" s="1" t="str">
        <f>"福山市霞町2-2-2"</f>
        <v>福山市霞町2-2-2</v>
      </c>
      <c r="C338" s="2">
        <v>46387</v>
      </c>
    </row>
    <row r="339" spans="1:3" x14ac:dyDescent="0.4">
      <c r="A339" s="1" t="s">
        <v>604</v>
      </c>
      <c r="B339" s="1" t="str">
        <f>"福山市霞町2-4-4"</f>
        <v>福山市霞町2-4-4</v>
      </c>
      <c r="C339" s="2">
        <v>46387</v>
      </c>
    </row>
    <row r="340" spans="1:3" x14ac:dyDescent="0.4">
      <c r="A340" s="1" t="s">
        <v>135</v>
      </c>
      <c r="B340" s="1" t="str">
        <f>"福山市霞町3-3-12"</f>
        <v>福山市霞町3-3-12</v>
      </c>
      <c r="C340" s="2">
        <v>46387</v>
      </c>
    </row>
    <row r="341" spans="1:3" x14ac:dyDescent="0.4">
      <c r="A341" s="1" t="s">
        <v>286</v>
      </c>
      <c r="B341" s="1" t="str">
        <f>"福山市宮前町2-6-19"</f>
        <v>福山市宮前町2-6-19</v>
      </c>
      <c r="C341" s="2">
        <v>46387</v>
      </c>
    </row>
    <row r="342" spans="1:3" x14ac:dyDescent="0.4">
      <c r="A342" s="1" t="s">
        <v>488</v>
      </c>
      <c r="B342" s="1" t="str">
        <f>"福山市御幸町下岩成316-3"</f>
        <v>福山市御幸町下岩成316-3</v>
      </c>
      <c r="C342" s="2">
        <v>46387</v>
      </c>
    </row>
    <row r="343" spans="1:3" x14ac:dyDescent="0.4">
      <c r="A343" s="1" t="s">
        <v>614</v>
      </c>
      <c r="B343" s="1" t="s">
        <v>111</v>
      </c>
      <c r="C343" s="2">
        <v>46752</v>
      </c>
    </row>
    <row r="344" spans="1:3" x14ac:dyDescent="0.4">
      <c r="A344" s="1" t="s">
        <v>387</v>
      </c>
      <c r="B344" s="1" t="str">
        <f>"福山市御幸町下岩成561-4"</f>
        <v>福山市御幸町下岩成561-4</v>
      </c>
      <c r="C344" s="2">
        <v>46387</v>
      </c>
    </row>
    <row r="345" spans="1:3" x14ac:dyDescent="0.4">
      <c r="A345" s="1" t="s">
        <v>652</v>
      </c>
      <c r="B345" s="1" t="str">
        <f>"福山市御幸町上岩成236-1"</f>
        <v>福山市御幸町上岩成236-1</v>
      </c>
      <c r="C345" s="2">
        <v>47118</v>
      </c>
    </row>
    <row r="346" spans="1:3" x14ac:dyDescent="0.4">
      <c r="A346" s="1" t="s">
        <v>70</v>
      </c>
      <c r="B346" s="1" t="str">
        <f>"福山市御幸町上岩成正戸464-8"</f>
        <v>福山市御幸町上岩成正戸464-8</v>
      </c>
      <c r="C346" s="2">
        <v>46387</v>
      </c>
    </row>
    <row r="347" spans="1:3" x14ac:dyDescent="0.4">
      <c r="A347" s="1" t="s">
        <v>605</v>
      </c>
      <c r="B347" s="1" t="str">
        <f>"福山市御幸町森脇426-8"</f>
        <v>福山市御幸町森脇426-8</v>
      </c>
      <c r="C347" s="2">
        <v>46387</v>
      </c>
    </row>
    <row r="348" spans="1:3" x14ac:dyDescent="0.4">
      <c r="A348" s="1" t="s">
        <v>315</v>
      </c>
      <c r="B348" s="1" t="str">
        <f>"福山市御船町1-9-3"</f>
        <v>福山市御船町1-9-3</v>
      </c>
      <c r="C348" s="2">
        <v>46752</v>
      </c>
    </row>
    <row r="349" spans="1:3" x14ac:dyDescent="0.4">
      <c r="A349" s="1" t="s">
        <v>304</v>
      </c>
      <c r="B349" s="1" t="str">
        <f>"福山市御門町1-3-31"</f>
        <v>福山市御門町1-3-31</v>
      </c>
      <c r="C349" s="2">
        <v>46387</v>
      </c>
    </row>
    <row r="350" spans="1:3" x14ac:dyDescent="0.4">
      <c r="A350" s="1" t="s">
        <v>22</v>
      </c>
      <c r="B350" s="1" t="str">
        <f>"福山市御門町3-2-6"</f>
        <v>福山市御門町3-2-6</v>
      </c>
      <c r="C350" s="2">
        <v>46387</v>
      </c>
    </row>
    <row r="351" spans="1:3" x14ac:dyDescent="0.4">
      <c r="A351" s="1" t="s">
        <v>570</v>
      </c>
      <c r="B351" s="1" t="str">
        <f>"福山市御門町3-3-9"</f>
        <v>福山市御門町3-3-9</v>
      </c>
      <c r="C351" s="2">
        <v>46387</v>
      </c>
    </row>
    <row r="352" spans="1:3" x14ac:dyDescent="0.4">
      <c r="A352" s="1" t="s">
        <v>537</v>
      </c>
      <c r="B352" s="1" t="str">
        <f>"福山市御門町3-8-8"</f>
        <v>福山市御門町3-8-8</v>
      </c>
      <c r="C352" s="2">
        <v>46387</v>
      </c>
    </row>
    <row r="353" spans="1:3" x14ac:dyDescent="0.4">
      <c r="A353" s="1" t="s">
        <v>310</v>
      </c>
      <c r="B353" s="1" t="str">
        <f>"福山市光南町1-5-4"</f>
        <v>福山市光南町1-5-4</v>
      </c>
      <c r="C353" s="2">
        <v>46022</v>
      </c>
    </row>
    <row r="354" spans="1:3" x14ac:dyDescent="0.4">
      <c r="A354" s="1" t="s">
        <v>325</v>
      </c>
      <c r="B354" s="1" t="str">
        <f>"福山市光南町2-4-4"</f>
        <v>福山市光南町2-4-4</v>
      </c>
      <c r="C354" s="2">
        <v>46387</v>
      </c>
    </row>
    <row r="355" spans="1:3" x14ac:dyDescent="0.4">
      <c r="A355" s="1" t="s">
        <v>626</v>
      </c>
      <c r="B355" s="1" t="str">
        <f>"福山市光南町3-7-12"</f>
        <v>福山市光南町3-7-12</v>
      </c>
      <c r="C355" s="2">
        <v>46022</v>
      </c>
    </row>
    <row r="356" spans="1:3" x14ac:dyDescent="0.4">
      <c r="A356" s="1" t="s">
        <v>567</v>
      </c>
      <c r="B356" s="1" t="str">
        <f>"福山市港町1-14-13"</f>
        <v>福山市港町1-14-13</v>
      </c>
      <c r="C356" s="2">
        <v>46387</v>
      </c>
    </row>
    <row r="357" spans="1:3" x14ac:dyDescent="0.4">
      <c r="A357" s="1" t="s">
        <v>206</v>
      </c>
      <c r="B357" s="1" t="str">
        <f>"福山市港町2-5-23"</f>
        <v>福山市港町2-5-23</v>
      </c>
      <c r="C357" s="2">
        <v>46387</v>
      </c>
    </row>
    <row r="358" spans="1:3" x14ac:dyDescent="0.4">
      <c r="A358" s="1" t="s">
        <v>190</v>
      </c>
      <c r="B358" s="1" t="str">
        <f>"福山市紅葉町3-23"</f>
        <v>福山市紅葉町3-23</v>
      </c>
      <c r="C358" s="2">
        <v>46387</v>
      </c>
    </row>
    <row r="359" spans="1:3" x14ac:dyDescent="0.4">
      <c r="A359" s="1" t="s">
        <v>560</v>
      </c>
      <c r="B359" s="1" t="str">
        <f>"福山市高西町1-7-29"</f>
        <v>福山市高西町1-7-29</v>
      </c>
      <c r="C359" s="2">
        <v>46387</v>
      </c>
    </row>
    <row r="360" spans="1:3" x14ac:dyDescent="0.4">
      <c r="A360" s="1" t="s">
        <v>384</v>
      </c>
      <c r="B360" s="1" t="str">
        <f>"福山市今津町2-2-10"</f>
        <v>福山市今津町2-2-10</v>
      </c>
      <c r="C360" s="2">
        <v>46387</v>
      </c>
    </row>
    <row r="361" spans="1:3" x14ac:dyDescent="0.4">
      <c r="A361" s="1" t="s">
        <v>265</v>
      </c>
      <c r="B361" s="1" t="str">
        <f>"福山市今津町2-3-9"</f>
        <v>福山市今津町2-3-9</v>
      </c>
      <c r="C361" s="2">
        <v>46387</v>
      </c>
    </row>
    <row r="362" spans="1:3" x14ac:dyDescent="0.4">
      <c r="A362" s="1" t="s">
        <v>216</v>
      </c>
      <c r="B362" s="1" t="str">
        <f>"福山市今津町3-8-60"</f>
        <v>福山市今津町3-8-60</v>
      </c>
      <c r="C362" s="2">
        <v>46387</v>
      </c>
    </row>
    <row r="363" spans="1:3" x14ac:dyDescent="0.4">
      <c r="A363" s="1" t="s">
        <v>587</v>
      </c>
      <c r="B363" s="1" t="str">
        <f>"福山市今津町3-9-5"</f>
        <v>福山市今津町3-9-5</v>
      </c>
      <c r="C363" s="2">
        <v>46387</v>
      </c>
    </row>
    <row r="364" spans="1:3" x14ac:dyDescent="0.4">
      <c r="A364" s="1" t="s">
        <v>4</v>
      </c>
      <c r="B364" s="1" t="str">
        <f>"福山市今津町4-1-21"</f>
        <v>福山市今津町4-1-21</v>
      </c>
      <c r="C364" s="2">
        <v>46387</v>
      </c>
    </row>
    <row r="365" spans="1:3" x14ac:dyDescent="0.4">
      <c r="A365" s="1" t="s">
        <v>63</v>
      </c>
      <c r="B365" s="1" t="str">
        <f>"福山市今津町5-1-29"</f>
        <v>福山市今津町5-1-29</v>
      </c>
      <c r="C365" s="2">
        <v>46387</v>
      </c>
    </row>
    <row r="366" spans="1:3" x14ac:dyDescent="0.4">
      <c r="A366" s="1" t="s">
        <v>47</v>
      </c>
      <c r="B366" s="1" t="str">
        <f>"福山市三吉町3-3-22"</f>
        <v>福山市三吉町3-3-22</v>
      </c>
      <c r="C366" s="2">
        <v>46387</v>
      </c>
    </row>
    <row r="367" spans="1:3" x14ac:dyDescent="0.4">
      <c r="A367" s="1" t="s">
        <v>273</v>
      </c>
      <c r="B367" s="1" t="str">
        <f>"福山市三吉町4-8-34"</f>
        <v>福山市三吉町4-8-34</v>
      </c>
      <c r="C367" s="2">
        <v>46387</v>
      </c>
    </row>
    <row r="368" spans="1:3" x14ac:dyDescent="0.4">
      <c r="A368" s="1" t="s">
        <v>566</v>
      </c>
      <c r="B368" s="1" t="str">
        <f>"福山市三之丸町14-18"</f>
        <v>福山市三之丸町14-18</v>
      </c>
      <c r="C368" s="2">
        <v>46387</v>
      </c>
    </row>
    <row r="369" spans="1:3" x14ac:dyDescent="0.4">
      <c r="A369" s="1" t="s">
        <v>609</v>
      </c>
      <c r="B369" s="1" t="str">
        <f>"福山市山手町2-3-15"</f>
        <v>福山市山手町2-3-15</v>
      </c>
      <c r="C369" s="2">
        <v>46387</v>
      </c>
    </row>
    <row r="370" spans="1:3" x14ac:dyDescent="0.4">
      <c r="A370" s="1" t="s">
        <v>557</v>
      </c>
      <c r="B370" s="1" t="str">
        <f>"福山市手城町1-3-44"</f>
        <v>福山市手城町1-3-44</v>
      </c>
      <c r="C370" s="2">
        <v>46387</v>
      </c>
    </row>
    <row r="371" spans="1:3" x14ac:dyDescent="0.4">
      <c r="A371" s="1" t="s">
        <v>51</v>
      </c>
      <c r="B371" s="1" t="str">
        <f>"福山市手城町2-1-16"</f>
        <v>福山市手城町2-1-16</v>
      </c>
      <c r="C371" s="2">
        <v>46387</v>
      </c>
    </row>
    <row r="372" spans="1:3" x14ac:dyDescent="0.4">
      <c r="A372" s="1" t="s">
        <v>254</v>
      </c>
      <c r="B372" s="1" t="str">
        <f>"福山市住吉町6-11"</f>
        <v>福山市住吉町6-11</v>
      </c>
      <c r="C372" s="2">
        <v>46022</v>
      </c>
    </row>
    <row r="373" spans="1:3" x14ac:dyDescent="0.4">
      <c r="A373" s="1" t="s">
        <v>321</v>
      </c>
      <c r="B373" s="1" t="str">
        <f>"福山市春日町1-23-21"</f>
        <v>福山市春日町1-23-21</v>
      </c>
      <c r="C373" s="2">
        <v>46387</v>
      </c>
    </row>
    <row r="374" spans="1:3" x14ac:dyDescent="0.4">
      <c r="A374" s="1" t="s">
        <v>564</v>
      </c>
      <c r="B374" s="1" t="str">
        <f>"福山市春日町1-5-43"</f>
        <v>福山市春日町1-5-43</v>
      </c>
      <c r="C374" s="2">
        <v>46387</v>
      </c>
    </row>
    <row r="375" spans="1:3" x14ac:dyDescent="0.4">
      <c r="A375" s="1" t="s">
        <v>582</v>
      </c>
      <c r="B375" s="1" t="str">
        <f>"福山市春日町3-9-1"</f>
        <v>福山市春日町3-9-1</v>
      </c>
      <c r="C375" s="2">
        <v>46387</v>
      </c>
    </row>
    <row r="376" spans="1:3" x14ac:dyDescent="0.4">
      <c r="A376" s="1" t="s">
        <v>359</v>
      </c>
      <c r="B376" s="1" t="str">
        <f>"福山市春日町7-1-24"</f>
        <v>福山市春日町7-1-24</v>
      </c>
      <c r="C376" s="2">
        <v>46387</v>
      </c>
    </row>
    <row r="377" spans="1:3" x14ac:dyDescent="0.4">
      <c r="A377" s="1" t="s">
        <v>44</v>
      </c>
      <c r="B377" s="1" t="str">
        <f>"福山市春日町7-2-18"</f>
        <v>福山市春日町7-2-18</v>
      </c>
      <c r="C377" s="2">
        <v>47118</v>
      </c>
    </row>
    <row r="378" spans="1:3" x14ac:dyDescent="0.4">
      <c r="A378" s="1" t="s">
        <v>577</v>
      </c>
      <c r="B378" s="1" t="str">
        <f>"福山市春日町7-4-9"</f>
        <v>福山市春日町7-4-9</v>
      </c>
      <c r="C378" s="2">
        <v>46387</v>
      </c>
    </row>
    <row r="379" spans="1:3" x14ac:dyDescent="0.4">
      <c r="A379" s="1" t="s">
        <v>526</v>
      </c>
      <c r="B379" s="1" t="str">
        <f>"福山市曙町3-19-12"</f>
        <v>福山市曙町3-19-12</v>
      </c>
      <c r="C379" s="2">
        <v>46387</v>
      </c>
    </row>
    <row r="380" spans="1:3" x14ac:dyDescent="0.4">
      <c r="A380" s="1" t="s">
        <v>398</v>
      </c>
      <c r="B380" s="1" t="str">
        <f>"福山市曙町3-20-21-1"</f>
        <v>福山市曙町3-20-21-1</v>
      </c>
      <c r="C380" s="2">
        <v>46387</v>
      </c>
    </row>
    <row r="381" spans="1:3" x14ac:dyDescent="0.4">
      <c r="A381" s="1" t="s">
        <v>94</v>
      </c>
      <c r="B381" s="1" t="str">
        <f>"福山市曙町5-18-20"</f>
        <v>福山市曙町5-18-20</v>
      </c>
      <c r="C381" s="2">
        <v>46387</v>
      </c>
    </row>
    <row r="382" spans="1:3" x14ac:dyDescent="0.4">
      <c r="A382" s="1" t="s">
        <v>233</v>
      </c>
      <c r="B382" s="1" t="str">
        <f>"福山市曙町5-21-48"</f>
        <v>福山市曙町5-21-48</v>
      </c>
      <c r="C382" s="2">
        <v>46387</v>
      </c>
    </row>
    <row r="383" spans="1:3" x14ac:dyDescent="0.4">
      <c r="A383" s="1" t="s">
        <v>18</v>
      </c>
      <c r="B383" s="1" t="str">
        <f>"福山市曙町5丁目19-28"</f>
        <v>福山市曙町5丁目19-28</v>
      </c>
      <c r="C383" s="2">
        <v>46752</v>
      </c>
    </row>
    <row r="384" spans="1:3" x14ac:dyDescent="0.4">
      <c r="A384" s="1" t="s">
        <v>648</v>
      </c>
      <c r="B384" s="1" t="str">
        <f>"福山市松永町3-21-27-3"</f>
        <v>福山市松永町3-21-27-3</v>
      </c>
      <c r="C384" s="2">
        <v>47118</v>
      </c>
    </row>
    <row r="385" spans="1:3" x14ac:dyDescent="0.4">
      <c r="A385" s="1" t="s">
        <v>580</v>
      </c>
      <c r="B385" s="1" t="str">
        <f>"福山市松永町342-9"</f>
        <v>福山市松永町342-9</v>
      </c>
      <c r="C385" s="2">
        <v>46387</v>
      </c>
    </row>
    <row r="386" spans="1:3" x14ac:dyDescent="0.4">
      <c r="A386" s="1" t="s">
        <v>10</v>
      </c>
      <c r="B386" s="1" t="str">
        <f>"福山市松永町350-13"</f>
        <v>福山市松永町350-13</v>
      </c>
      <c r="C386" s="2">
        <v>46387</v>
      </c>
    </row>
    <row r="387" spans="1:3" x14ac:dyDescent="0.4">
      <c r="A387" s="1" t="s">
        <v>596</v>
      </c>
      <c r="B387" s="1" t="str">
        <f>"福山市松永町3-7-39-4"</f>
        <v>福山市松永町3-7-39-4</v>
      </c>
      <c r="C387" s="2">
        <v>46387</v>
      </c>
    </row>
    <row r="388" spans="1:3" x14ac:dyDescent="0.4">
      <c r="A388" s="1" t="s">
        <v>594</v>
      </c>
      <c r="B388" s="1" t="str">
        <f>"福山市松永町4-1-4"</f>
        <v>福山市松永町4-1-4</v>
      </c>
      <c r="C388" s="2">
        <v>46387</v>
      </c>
    </row>
    <row r="389" spans="1:3" x14ac:dyDescent="0.4">
      <c r="A389" s="1" t="s">
        <v>556</v>
      </c>
      <c r="B389" s="1" t="str">
        <f>"福山市松永町4-8-2"</f>
        <v>福山市松永町4-8-2</v>
      </c>
      <c r="C389" s="2">
        <v>46387</v>
      </c>
    </row>
    <row r="390" spans="1:3" x14ac:dyDescent="0.4">
      <c r="A390" s="1" t="s">
        <v>558</v>
      </c>
      <c r="B390" s="1" t="str">
        <f>"福山市松永町5-37-25"</f>
        <v>福山市松永町5-37-25</v>
      </c>
      <c r="C390" s="2">
        <v>46387</v>
      </c>
    </row>
    <row r="391" spans="1:3" x14ac:dyDescent="0.4">
      <c r="A391" s="1" t="s">
        <v>211</v>
      </c>
      <c r="B391" s="1" t="str">
        <f>"福山市松永町5-9-14"</f>
        <v>福山市松永町5-9-14</v>
      </c>
      <c r="C391" s="2">
        <v>46387</v>
      </c>
    </row>
    <row r="392" spans="1:3" x14ac:dyDescent="0.4">
      <c r="A392" s="1" t="s">
        <v>653</v>
      </c>
      <c r="B392" s="1" t="str">
        <f>"福山市松永町6-7-3"</f>
        <v>福山市松永町6-7-3</v>
      </c>
      <c r="C392" s="2">
        <v>47118</v>
      </c>
    </row>
    <row r="393" spans="1:3" x14ac:dyDescent="0.4">
      <c r="A393" s="1" t="s">
        <v>427</v>
      </c>
      <c r="B393" s="1" t="str">
        <f>"福山市松浜町1-10-10"</f>
        <v>福山市松浜町1-10-10</v>
      </c>
      <c r="C393" s="2">
        <v>46752</v>
      </c>
    </row>
    <row r="394" spans="1:3" x14ac:dyDescent="0.4">
      <c r="A394" s="1" t="s">
        <v>271</v>
      </c>
      <c r="B394" s="1" t="str">
        <f>"福山市松浜町1-1-26"</f>
        <v>福山市松浜町1-1-26</v>
      </c>
      <c r="C394" s="2">
        <v>46387</v>
      </c>
    </row>
    <row r="395" spans="1:3" x14ac:dyDescent="0.4">
      <c r="A395" s="1" t="s">
        <v>266</v>
      </c>
      <c r="B395" s="1" t="str">
        <f>"福山市松浜町1-4-8"</f>
        <v>福山市松浜町1-4-8</v>
      </c>
      <c r="C395" s="2">
        <v>46387</v>
      </c>
    </row>
    <row r="396" spans="1:3" x14ac:dyDescent="0.4">
      <c r="A396" s="1" t="s">
        <v>650</v>
      </c>
      <c r="B396" s="1" t="str">
        <f>"福山市松浜町2-3-25"</f>
        <v>福山市松浜町2-3-25</v>
      </c>
      <c r="C396" s="2">
        <v>47118</v>
      </c>
    </row>
    <row r="397" spans="1:3" x14ac:dyDescent="0.4">
      <c r="A397" s="1" t="s">
        <v>630</v>
      </c>
      <c r="B397" s="1" t="str">
        <f>"福山市松浜町4-5-26"</f>
        <v>福山市松浜町4-5-26</v>
      </c>
      <c r="C397" s="2">
        <v>46022</v>
      </c>
    </row>
    <row r="398" spans="1:3" x14ac:dyDescent="0.4">
      <c r="A398" s="1" t="s">
        <v>608</v>
      </c>
      <c r="B398" s="1" t="str">
        <f>"福山市沼隈町常石2638-5"</f>
        <v>福山市沼隈町常石2638-5</v>
      </c>
      <c r="C398" s="2">
        <v>46387</v>
      </c>
    </row>
    <row r="399" spans="1:3" x14ac:dyDescent="0.4">
      <c r="A399" s="1" t="s">
        <v>592</v>
      </c>
      <c r="B399" s="1" t="str">
        <f>"福山市沼隈町草深1918-3"</f>
        <v>福山市沼隈町草深1918-3</v>
      </c>
      <c r="C399" s="2">
        <v>46387</v>
      </c>
    </row>
    <row r="400" spans="1:3" x14ac:dyDescent="0.4">
      <c r="A400" s="1" t="s">
        <v>326</v>
      </c>
      <c r="B400" s="1" t="str">
        <f>"福山市沼隈町草深1963-1"</f>
        <v>福山市沼隈町草深1963-1</v>
      </c>
      <c r="C400" s="2">
        <v>45657</v>
      </c>
    </row>
    <row r="401" spans="1:3" x14ac:dyDescent="0.4">
      <c r="A401" s="1" t="s">
        <v>600</v>
      </c>
      <c r="B401" s="1" t="str">
        <f>"福山市沼隈町草深1980-10"</f>
        <v>福山市沼隈町草深1980-10</v>
      </c>
      <c r="C401" s="2">
        <v>46387</v>
      </c>
    </row>
    <row r="402" spans="1:3" x14ac:dyDescent="0.4">
      <c r="A402" s="1" t="s">
        <v>597</v>
      </c>
      <c r="B402" s="1" t="str">
        <f>"福山市沼隈町草深456-1"</f>
        <v>福山市沼隈町草深456-1</v>
      </c>
      <c r="C402" s="2">
        <v>46387</v>
      </c>
    </row>
    <row r="403" spans="1:3" x14ac:dyDescent="0.4">
      <c r="A403" s="1" t="s">
        <v>820</v>
      </c>
      <c r="B403" s="1" t="s">
        <v>15</v>
      </c>
      <c r="C403" s="2">
        <v>46387</v>
      </c>
    </row>
    <row r="404" spans="1:3" x14ac:dyDescent="0.4">
      <c r="A404" s="1" t="s">
        <v>867</v>
      </c>
      <c r="B404" s="1" t="str">
        <f>"福山市沼隈町中山南1233-6"</f>
        <v>福山市沼隈町中山南1233-6</v>
      </c>
      <c r="C404" s="2">
        <v>46387</v>
      </c>
    </row>
    <row r="405" spans="1:3" x14ac:dyDescent="0.4">
      <c r="A405" s="1" t="s">
        <v>375</v>
      </c>
      <c r="B405" s="1" t="s">
        <v>90</v>
      </c>
      <c r="C405" s="2">
        <v>46387</v>
      </c>
    </row>
    <row r="406" spans="1:3" x14ac:dyDescent="0.4">
      <c r="A406" s="1" t="s">
        <v>181</v>
      </c>
      <c r="B406" s="1" t="str">
        <f>"福山市城見町1-3-4"</f>
        <v>福山市城見町1-3-4</v>
      </c>
      <c r="C406" s="2">
        <v>46387</v>
      </c>
    </row>
    <row r="407" spans="1:3" x14ac:dyDescent="0.4">
      <c r="A407" s="1" t="s">
        <v>656</v>
      </c>
      <c r="B407" s="1" t="str">
        <f>"福山市新涯町1-24-24"</f>
        <v>福山市新涯町1-24-24</v>
      </c>
      <c r="C407" s="2">
        <v>47483</v>
      </c>
    </row>
    <row r="408" spans="1:3" x14ac:dyDescent="0.4">
      <c r="A408" s="1" t="s">
        <v>578</v>
      </c>
      <c r="B408" s="1" t="str">
        <f>"福山市新涯町1-5-40"</f>
        <v>福山市新涯町1-5-40</v>
      </c>
      <c r="C408" s="2">
        <v>46387</v>
      </c>
    </row>
    <row r="409" spans="1:3" x14ac:dyDescent="0.4">
      <c r="A409" s="1" t="s">
        <v>352</v>
      </c>
      <c r="B409" s="1" t="str">
        <f>"福山市新涯町2-6-31"</f>
        <v>福山市新涯町2-6-31</v>
      </c>
      <c r="C409" s="2">
        <v>47118</v>
      </c>
    </row>
    <row r="410" spans="1:3" x14ac:dyDescent="0.4">
      <c r="A410" s="1" t="s">
        <v>9</v>
      </c>
      <c r="B410" s="1" t="str">
        <f>"福山市新涯町3-16-2"</f>
        <v>福山市新涯町3-16-2</v>
      </c>
      <c r="C410" s="2">
        <v>46387</v>
      </c>
    </row>
    <row r="411" spans="1:3" x14ac:dyDescent="0.4">
      <c r="A411" s="1" t="s">
        <v>118</v>
      </c>
      <c r="B411" s="1" t="str">
        <f>"福山市新市町宮内349-2"</f>
        <v>福山市新市町宮内349-2</v>
      </c>
      <c r="C411" s="2">
        <v>46387</v>
      </c>
    </row>
    <row r="412" spans="1:3" x14ac:dyDescent="0.4">
      <c r="A412" s="1" t="s">
        <v>876</v>
      </c>
      <c r="B412" s="1" t="str">
        <f>"福山市新市町金丸466-16"</f>
        <v>福山市新市町金丸466-16</v>
      </c>
      <c r="C412" s="2">
        <v>46387</v>
      </c>
    </row>
    <row r="413" spans="1:3" x14ac:dyDescent="0.4">
      <c r="A413" s="1" t="s">
        <v>57</v>
      </c>
      <c r="B413" s="1" t="str">
        <f>"福山市新市町戸手1326-1"</f>
        <v>福山市新市町戸手1326-1</v>
      </c>
      <c r="C413" s="2">
        <v>46387</v>
      </c>
    </row>
    <row r="414" spans="1:3" x14ac:dyDescent="0.4">
      <c r="A414" s="1" t="s">
        <v>274</v>
      </c>
      <c r="B414" s="1" t="str">
        <f>"福山市新市町戸手814-1"</f>
        <v>福山市新市町戸手814-1</v>
      </c>
      <c r="C414" s="2">
        <v>46387</v>
      </c>
    </row>
    <row r="415" spans="1:3" x14ac:dyDescent="0.4">
      <c r="A415" s="1" t="s">
        <v>235</v>
      </c>
      <c r="B415" s="1" t="str">
        <f>"福山市新市町新市1261-6"</f>
        <v>福山市新市町新市1261-6</v>
      </c>
      <c r="C415" s="2">
        <v>46387</v>
      </c>
    </row>
    <row r="416" spans="1:3" x14ac:dyDescent="0.4">
      <c r="A416" s="1" t="s">
        <v>29</v>
      </c>
      <c r="B416" s="1" t="str">
        <f>"福山市新市町新市34-3"</f>
        <v>福山市新市町新市34-3</v>
      </c>
      <c r="C416" s="2">
        <v>46387</v>
      </c>
    </row>
    <row r="417" spans="1:3" x14ac:dyDescent="0.4">
      <c r="A417" s="1" t="s">
        <v>878</v>
      </c>
      <c r="B417" s="1" t="s">
        <v>644</v>
      </c>
      <c r="C417" s="2">
        <v>46387</v>
      </c>
    </row>
    <row r="418" spans="1:3" x14ac:dyDescent="0.4">
      <c r="A418" s="1" t="s">
        <v>130</v>
      </c>
      <c r="B418" s="1" t="str">
        <f>"福山市新市町新市389-1"</f>
        <v>福山市新市町新市389-1</v>
      </c>
      <c r="C418" s="2">
        <v>46387</v>
      </c>
    </row>
    <row r="419" spans="1:3" x14ac:dyDescent="0.4">
      <c r="A419" s="1" t="s">
        <v>385</v>
      </c>
      <c r="B419" s="1" t="s">
        <v>278</v>
      </c>
      <c r="C419" s="2">
        <v>47483</v>
      </c>
    </row>
    <row r="420" spans="1:3" x14ac:dyDescent="0.4">
      <c r="A420" s="1" t="s">
        <v>873</v>
      </c>
      <c r="B420" s="1" t="s">
        <v>874</v>
      </c>
      <c r="C420" s="2">
        <v>46387</v>
      </c>
    </row>
    <row r="421" spans="1:3" x14ac:dyDescent="0.4">
      <c r="A421" s="1" t="s">
        <v>639</v>
      </c>
      <c r="B421" s="1" t="str">
        <f>"福山市新市町新市629-1"</f>
        <v>福山市新市町新市629-1</v>
      </c>
      <c r="C421" s="2">
        <v>46387</v>
      </c>
    </row>
    <row r="422" spans="1:3" x14ac:dyDescent="0.4">
      <c r="A422" s="1" t="s">
        <v>875</v>
      </c>
      <c r="B422" s="1" t="str">
        <f>"福山市新市町新市742-6"</f>
        <v>福山市新市町新市742-6</v>
      </c>
      <c r="C422" s="2">
        <v>46387</v>
      </c>
    </row>
    <row r="423" spans="1:3" x14ac:dyDescent="0.4">
      <c r="A423" s="1" t="s">
        <v>877</v>
      </c>
      <c r="B423" s="1" t="str">
        <f>"福山市新市町大字新市54-1"</f>
        <v>福山市新市町大字新市54-1</v>
      </c>
      <c r="C423" s="2">
        <v>46387</v>
      </c>
    </row>
    <row r="424" spans="1:3" x14ac:dyDescent="0.4">
      <c r="A424" s="1" t="s">
        <v>408</v>
      </c>
      <c r="B424" s="1" t="str">
        <f>"福山市新市町大字新市773-6"</f>
        <v>福山市新市町大字新市773-6</v>
      </c>
      <c r="C424" s="2">
        <v>46387</v>
      </c>
    </row>
    <row r="425" spans="1:3" x14ac:dyDescent="0.4">
      <c r="A425" s="1" t="s">
        <v>622</v>
      </c>
      <c r="B425" s="1" t="str">
        <f>"福山市神辺町下御領501-1"</f>
        <v>福山市神辺町下御領501-1</v>
      </c>
      <c r="C425" s="2">
        <v>47483</v>
      </c>
    </row>
    <row r="426" spans="1:3" x14ac:dyDescent="0.4">
      <c r="A426" s="1" t="s">
        <v>517</v>
      </c>
      <c r="B426" s="1" t="str">
        <f>"福山市神辺町新湯野41-4"</f>
        <v>福山市神辺町新湯野41-4</v>
      </c>
      <c r="C426" s="2">
        <v>46387</v>
      </c>
    </row>
    <row r="427" spans="1:3" x14ac:dyDescent="0.4">
      <c r="A427" s="1" t="s">
        <v>623</v>
      </c>
      <c r="B427" s="1" t="str">
        <f>"福山市神辺町新湯野74-18"</f>
        <v>福山市神辺町新湯野74-18</v>
      </c>
      <c r="C427" s="2">
        <v>47483</v>
      </c>
    </row>
    <row r="428" spans="1:3" x14ac:dyDescent="0.4">
      <c r="A428" s="1" t="s">
        <v>30</v>
      </c>
      <c r="B428" s="1" t="s">
        <v>868</v>
      </c>
      <c r="C428" s="2">
        <v>46387</v>
      </c>
    </row>
    <row r="429" spans="1:3" x14ac:dyDescent="0.4">
      <c r="A429" s="1" t="s">
        <v>870</v>
      </c>
      <c r="B429" s="1" t="str">
        <f>"福山市神辺町新徳田3-542-2"</f>
        <v>福山市神辺町新徳田3-542-2</v>
      </c>
      <c r="C429" s="2">
        <v>46387</v>
      </c>
    </row>
    <row r="430" spans="1:3" x14ac:dyDescent="0.4">
      <c r="A430" s="1" t="s">
        <v>224</v>
      </c>
      <c r="B430" s="1" t="str">
        <f>"福山市神辺町新徳田3-546-2"</f>
        <v>福山市神辺町新徳田3-546-2</v>
      </c>
      <c r="C430" s="2">
        <v>46387</v>
      </c>
    </row>
    <row r="431" spans="1:3" x14ac:dyDescent="0.4">
      <c r="A431" s="1" t="s">
        <v>869</v>
      </c>
      <c r="B431" s="1" t="str">
        <f>"福山市神辺町川南1044-1"</f>
        <v>福山市神辺町川南1044-1</v>
      </c>
      <c r="C431" s="2">
        <v>46387</v>
      </c>
    </row>
    <row r="432" spans="1:3" x14ac:dyDescent="0.4">
      <c r="A432" s="1" t="s">
        <v>253</v>
      </c>
      <c r="B432" s="1" t="str">
        <f>"福山市神辺町川南1045-4"</f>
        <v>福山市神辺町川南1045-4</v>
      </c>
      <c r="C432" s="2">
        <v>46387</v>
      </c>
    </row>
    <row r="433" spans="1:3" x14ac:dyDescent="0.4">
      <c r="A433" s="1" t="s">
        <v>37</v>
      </c>
      <c r="B433" s="1" t="str">
        <f>"福山市神辺町川南108-1"</f>
        <v>福山市神辺町川南108-1</v>
      </c>
      <c r="C433" s="2">
        <v>46387</v>
      </c>
    </row>
    <row r="434" spans="1:3" x14ac:dyDescent="0.4">
      <c r="A434" s="1" t="s">
        <v>634</v>
      </c>
      <c r="B434" s="1" t="s">
        <v>32</v>
      </c>
      <c r="C434" s="2">
        <v>46387</v>
      </c>
    </row>
    <row r="435" spans="1:3" x14ac:dyDescent="0.4">
      <c r="A435" s="1" t="s">
        <v>586</v>
      </c>
      <c r="B435" s="1" t="str">
        <f>"福山市神辺町川南3143-7"</f>
        <v>福山市神辺町川南3143-7</v>
      </c>
      <c r="C435" s="2">
        <v>46387</v>
      </c>
    </row>
    <row r="436" spans="1:3" x14ac:dyDescent="0.4">
      <c r="A436" s="1" t="s">
        <v>421</v>
      </c>
      <c r="B436" s="1" t="str">
        <f>"福山市神辺町川南3158-8"</f>
        <v>福山市神辺町川南3158-8</v>
      </c>
      <c r="C436" s="2">
        <v>46387</v>
      </c>
    </row>
    <row r="437" spans="1:3" x14ac:dyDescent="0.4">
      <c r="A437" s="1" t="s">
        <v>872</v>
      </c>
      <c r="B437" s="1" t="str">
        <f>"福山市神辺町川北1345-12"</f>
        <v>福山市神辺町川北1345-12</v>
      </c>
      <c r="C437" s="2">
        <v>46387</v>
      </c>
    </row>
    <row r="438" spans="1:3" x14ac:dyDescent="0.4">
      <c r="A438" s="1" t="s">
        <v>134</v>
      </c>
      <c r="B438" s="1" t="s">
        <v>11</v>
      </c>
      <c r="C438" s="2">
        <v>46387</v>
      </c>
    </row>
    <row r="439" spans="1:3" x14ac:dyDescent="0.4">
      <c r="A439" s="1" t="s">
        <v>471</v>
      </c>
      <c r="B439" s="1" t="s">
        <v>356</v>
      </c>
      <c r="C439" s="2">
        <v>45657</v>
      </c>
    </row>
    <row r="440" spans="1:3" x14ac:dyDescent="0.4">
      <c r="A440" s="1" t="s">
        <v>202</v>
      </c>
      <c r="B440" s="1" t="str">
        <f>"福山市神辺町川北895-1"</f>
        <v>福山市神辺町川北895-1</v>
      </c>
      <c r="C440" s="2">
        <v>46752</v>
      </c>
    </row>
    <row r="441" spans="1:3" x14ac:dyDescent="0.4">
      <c r="A441" s="1" t="s">
        <v>627</v>
      </c>
      <c r="B441" s="1" t="str">
        <f>"福山市神辺町川北910-2"</f>
        <v>福山市神辺町川北910-2</v>
      </c>
      <c r="C441" s="2">
        <v>45657</v>
      </c>
    </row>
    <row r="442" spans="1:3" x14ac:dyDescent="0.4">
      <c r="A442" s="1" t="s">
        <v>236</v>
      </c>
      <c r="B442" s="1" t="str">
        <f>"福山市神辺町湯野378-1"</f>
        <v>福山市神辺町湯野378-1</v>
      </c>
      <c r="C442" s="2">
        <v>46752</v>
      </c>
    </row>
    <row r="443" spans="1:3" x14ac:dyDescent="0.4">
      <c r="A443" s="1" t="s">
        <v>871</v>
      </c>
      <c r="B443" s="1" t="str">
        <f>"福山市神辺町道上2981-3"</f>
        <v>福山市神辺町道上2981-3</v>
      </c>
      <c r="C443" s="2">
        <v>46387</v>
      </c>
    </row>
    <row r="444" spans="1:3" x14ac:dyDescent="0.4">
      <c r="A444" s="1" t="s">
        <v>332</v>
      </c>
      <c r="B444" s="1" t="str">
        <f>"福山市神辺町平野120-7"</f>
        <v>福山市神辺町平野120-7</v>
      </c>
      <c r="C444" s="2">
        <v>46387</v>
      </c>
    </row>
    <row r="445" spans="1:3" x14ac:dyDescent="0.4">
      <c r="A445" s="1" t="s">
        <v>71</v>
      </c>
      <c r="B445" s="1" t="str">
        <f>"福山市水呑町1957-2"</f>
        <v>福山市水呑町1957-2</v>
      </c>
      <c r="C445" s="2">
        <v>46387</v>
      </c>
    </row>
    <row r="446" spans="1:3" x14ac:dyDescent="0.4">
      <c r="A446" s="1" t="s">
        <v>590</v>
      </c>
      <c r="B446" s="1" t="str">
        <f>"福山市水呑町3590-1"</f>
        <v>福山市水呑町3590-1</v>
      </c>
      <c r="C446" s="2">
        <v>46387</v>
      </c>
    </row>
    <row r="447" spans="1:3" x14ac:dyDescent="0.4">
      <c r="A447" s="1" t="s">
        <v>402</v>
      </c>
      <c r="B447" s="1" t="str">
        <f>"福山市水呑町4398-1"</f>
        <v>福山市水呑町4398-1</v>
      </c>
      <c r="C447" s="2">
        <v>46387</v>
      </c>
    </row>
    <row r="448" spans="1:3" x14ac:dyDescent="0.4">
      <c r="A448" s="1" t="s">
        <v>602</v>
      </c>
      <c r="B448" s="1" t="s">
        <v>603</v>
      </c>
      <c r="C448" s="2">
        <v>46387</v>
      </c>
    </row>
    <row r="449" spans="1:3" x14ac:dyDescent="0.4">
      <c r="A449" s="1" t="s">
        <v>64</v>
      </c>
      <c r="B449" s="1" t="s">
        <v>432</v>
      </c>
      <c r="C449" s="2">
        <v>46387</v>
      </c>
    </row>
    <row r="450" spans="1:3" x14ac:dyDescent="0.4">
      <c r="A450" s="1" t="s">
        <v>426</v>
      </c>
      <c r="B450" s="1" t="str">
        <f>"福山市水呑町三新田2-231"</f>
        <v>福山市水呑町三新田2-231</v>
      </c>
      <c r="C450" s="2">
        <v>46387</v>
      </c>
    </row>
    <row r="451" spans="1:3" x14ac:dyDescent="0.4">
      <c r="A451" s="1" t="s">
        <v>107</v>
      </c>
      <c r="B451" s="1" t="str">
        <f>"福山市水呑町三新田2-26"</f>
        <v>福山市水呑町三新田2-26</v>
      </c>
      <c r="C451" s="2">
        <v>46387</v>
      </c>
    </row>
    <row r="452" spans="1:3" x14ac:dyDescent="0.4">
      <c r="A452" s="1" t="s">
        <v>263</v>
      </c>
      <c r="B452" s="1" t="str">
        <f>"福山市瀬戸町山北444-2"</f>
        <v>福山市瀬戸町山北444-2</v>
      </c>
      <c r="C452" s="2">
        <v>47483</v>
      </c>
    </row>
    <row r="453" spans="1:3" x14ac:dyDescent="0.4">
      <c r="A453" s="1" t="s">
        <v>67</v>
      </c>
      <c r="B453" s="1" t="str">
        <f>"福山市瀬戸町地頭分1191-1"</f>
        <v>福山市瀬戸町地頭分1191-1</v>
      </c>
      <c r="C453" s="2">
        <v>47118</v>
      </c>
    </row>
    <row r="454" spans="1:3" x14ac:dyDescent="0.4">
      <c r="A454" s="1" t="s">
        <v>95</v>
      </c>
      <c r="B454" s="1" t="str">
        <f>"福山市西桜町1-7-2"</f>
        <v>福山市西桜町1-7-2</v>
      </c>
      <c r="C454" s="2">
        <v>46387</v>
      </c>
    </row>
    <row r="455" spans="1:3" x14ac:dyDescent="0.4">
      <c r="A455" s="1" t="s">
        <v>649</v>
      </c>
      <c r="B455" s="1" t="str">
        <f>"福山市西新涯町2-10-11"</f>
        <v>福山市西新涯町2-10-11</v>
      </c>
      <c r="C455" s="2">
        <v>47118</v>
      </c>
    </row>
    <row r="456" spans="1:3" x14ac:dyDescent="0.4">
      <c r="A456" s="1" t="s">
        <v>573</v>
      </c>
      <c r="B456" s="1" t="str">
        <f>"福山市西深津町4-4-5"</f>
        <v>福山市西深津町4-4-5</v>
      </c>
      <c r="C456" s="2">
        <v>46387</v>
      </c>
    </row>
    <row r="457" spans="1:3" x14ac:dyDescent="0.4">
      <c r="A457" s="1" t="s">
        <v>219</v>
      </c>
      <c r="B457" s="1" t="str">
        <f>"福山市西深津町6-13-17"</f>
        <v>福山市西深津町6-13-17</v>
      </c>
      <c r="C457" s="2">
        <v>46387</v>
      </c>
    </row>
    <row r="458" spans="1:3" x14ac:dyDescent="0.4">
      <c r="A458" s="1" t="s">
        <v>571</v>
      </c>
      <c r="B458" s="1" t="str">
        <f>"福山市西町2-5-5"</f>
        <v>福山市西町2-5-5</v>
      </c>
      <c r="C458" s="2">
        <v>46387</v>
      </c>
    </row>
    <row r="459" spans="1:3" x14ac:dyDescent="0.4">
      <c r="A459" s="1" t="s">
        <v>189</v>
      </c>
      <c r="B459" s="1" t="str">
        <f>"福山市西町3-12-20"</f>
        <v>福山市西町3-12-20</v>
      </c>
      <c r="C459" s="2">
        <v>46387</v>
      </c>
    </row>
    <row r="460" spans="1:3" x14ac:dyDescent="0.4">
      <c r="A460" s="1" t="s">
        <v>7</v>
      </c>
      <c r="B460" s="1" t="str">
        <f>"福山市青葉台1-11-8"</f>
        <v>福山市青葉台1-11-8</v>
      </c>
      <c r="C460" s="2">
        <v>46387</v>
      </c>
    </row>
    <row r="461" spans="1:3" x14ac:dyDescent="0.4">
      <c r="A461" s="1" t="s">
        <v>96</v>
      </c>
      <c r="B461" s="1" t="str">
        <f>"福山市赤坂町赤坂1283-1"</f>
        <v>福山市赤坂町赤坂1283-1</v>
      </c>
      <c r="C461" s="2">
        <v>46387</v>
      </c>
    </row>
    <row r="462" spans="1:3" x14ac:dyDescent="0.4">
      <c r="A462" s="1" t="s">
        <v>441</v>
      </c>
      <c r="B462" s="1" t="str">
        <f>"福山市千田町2-47-5"</f>
        <v>福山市千田町2-47-5</v>
      </c>
      <c r="C462" s="2">
        <v>46387</v>
      </c>
    </row>
    <row r="463" spans="1:3" x14ac:dyDescent="0.4">
      <c r="A463" s="1" t="s">
        <v>110</v>
      </c>
      <c r="B463" s="1" t="str">
        <f>"福山市千田町3-34-28"</f>
        <v>福山市千田町3-34-28</v>
      </c>
      <c r="C463" s="2">
        <v>46387</v>
      </c>
    </row>
    <row r="464" spans="1:3" x14ac:dyDescent="0.4">
      <c r="A464" s="1" t="s">
        <v>575</v>
      </c>
      <c r="B464" s="1" t="str">
        <f>"福山市川口町1-8-1-105"</f>
        <v>福山市川口町1-8-1-105</v>
      </c>
      <c r="C464" s="2">
        <v>46387</v>
      </c>
    </row>
    <row r="465" spans="1:3" x14ac:dyDescent="0.4">
      <c r="A465" s="1" t="s">
        <v>250</v>
      </c>
      <c r="B465" s="1" t="str">
        <f>"福山市川口町4-12-36"</f>
        <v>福山市川口町4-12-36</v>
      </c>
      <c r="C465" s="2">
        <v>46387</v>
      </c>
    </row>
    <row r="466" spans="1:3" x14ac:dyDescent="0.4">
      <c r="A466" s="1" t="s">
        <v>641</v>
      </c>
      <c r="B466" s="1" t="str">
        <f>"福山市川口町4-12-9"</f>
        <v>福山市川口町4-12-9</v>
      </c>
      <c r="C466" s="2">
        <v>46752</v>
      </c>
    </row>
    <row r="467" spans="1:3" x14ac:dyDescent="0.4">
      <c r="A467" s="1" t="s">
        <v>362</v>
      </c>
      <c r="B467" s="1" t="str">
        <f>"福山市船町3-3"</f>
        <v>福山市船町3-3</v>
      </c>
      <c r="C467" s="2">
        <v>46387</v>
      </c>
    </row>
    <row r="468" spans="1:3" x14ac:dyDescent="0.4">
      <c r="A468" s="1" t="s">
        <v>377</v>
      </c>
      <c r="B468" s="1" t="str">
        <f>"福山市草戸町3-10-36"</f>
        <v>福山市草戸町3-10-36</v>
      </c>
      <c r="C468" s="2">
        <v>46387</v>
      </c>
    </row>
    <row r="469" spans="1:3" x14ac:dyDescent="0.4">
      <c r="A469" s="1" t="s">
        <v>112</v>
      </c>
      <c r="B469" s="1" t="str">
        <f>"福山市蔵王町162-1"</f>
        <v>福山市蔵王町162-1</v>
      </c>
      <c r="C469" s="2">
        <v>46387</v>
      </c>
    </row>
    <row r="470" spans="1:3" x14ac:dyDescent="0.4">
      <c r="A470" s="1" t="s">
        <v>612</v>
      </c>
      <c r="B470" s="1" t="str">
        <f>"福山市蔵王町3-11-11"</f>
        <v>福山市蔵王町3-11-11</v>
      </c>
      <c r="C470" s="2">
        <v>46387</v>
      </c>
    </row>
    <row r="471" spans="1:3" x14ac:dyDescent="0.4">
      <c r="A471" s="1" t="s">
        <v>615</v>
      </c>
      <c r="B471" s="1" t="str">
        <f>"福山市多治米町1-11-10-101"</f>
        <v>福山市多治米町1-11-10-101</v>
      </c>
      <c r="C471" s="2">
        <v>46752</v>
      </c>
    </row>
    <row r="472" spans="1:3" x14ac:dyDescent="0.4">
      <c r="A472" s="1" t="s">
        <v>625</v>
      </c>
      <c r="B472" s="1" t="str">
        <f>"福山市多治米町1-11-25"</f>
        <v>福山市多治米町1-11-25</v>
      </c>
      <c r="C472" s="2">
        <v>45657</v>
      </c>
    </row>
    <row r="473" spans="1:3" x14ac:dyDescent="0.4">
      <c r="A473" s="1" t="s">
        <v>392</v>
      </c>
      <c r="B473" s="1" t="str">
        <f>"福山市多治米町2-12-10"</f>
        <v>福山市多治米町2-12-10</v>
      </c>
      <c r="C473" s="2">
        <v>46387</v>
      </c>
    </row>
    <row r="474" spans="1:3" x14ac:dyDescent="0.4">
      <c r="A474" s="1" t="s">
        <v>58</v>
      </c>
      <c r="B474" s="1" t="str">
        <f>"福山市多治米町2-15-15"</f>
        <v>福山市多治米町2-15-15</v>
      </c>
      <c r="C474" s="2">
        <v>46387</v>
      </c>
    </row>
    <row r="475" spans="1:3" x14ac:dyDescent="0.4">
      <c r="A475" s="1" t="s">
        <v>640</v>
      </c>
      <c r="B475" s="1" t="str">
        <f>"福山市多治米町4-12-22"</f>
        <v>福山市多治米町4-12-22</v>
      </c>
      <c r="C475" s="2">
        <v>46752</v>
      </c>
    </row>
    <row r="476" spans="1:3" x14ac:dyDescent="0.4">
      <c r="A476" s="1" t="s">
        <v>632</v>
      </c>
      <c r="B476" s="1" t="str">
        <f>"福山市多治米町5-23-29-B101"</f>
        <v>福山市多治米町5-23-29-B101</v>
      </c>
      <c r="C476" s="2">
        <v>46022</v>
      </c>
    </row>
    <row r="477" spans="1:3" x14ac:dyDescent="0.4">
      <c r="A477" s="1" t="s">
        <v>607</v>
      </c>
      <c r="B477" s="1" t="str">
        <f>"福山市多治米町5-23-39"</f>
        <v>福山市多治米町5-23-39</v>
      </c>
      <c r="C477" s="2">
        <v>46387</v>
      </c>
    </row>
    <row r="478" spans="1:3" x14ac:dyDescent="0.4">
      <c r="A478" s="1" t="s">
        <v>26</v>
      </c>
      <c r="B478" s="1" t="str">
        <f>"福山市大黒町1-1"</f>
        <v>福山市大黒町1-1</v>
      </c>
      <c r="C478" s="2">
        <v>46387</v>
      </c>
    </row>
    <row r="479" spans="1:3" x14ac:dyDescent="0.4">
      <c r="A479" s="1" t="s">
        <v>561</v>
      </c>
      <c r="B479" s="1" t="str">
        <f>"福山市大黒町1-33"</f>
        <v>福山市大黒町1-33</v>
      </c>
      <c r="C479" s="2">
        <v>46387</v>
      </c>
    </row>
    <row r="480" spans="1:3" x14ac:dyDescent="0.4">
      <c r="A480" s="1" t="s">
        <v>565</v>
      </c>
      <c r="B480" s="1" t="str">
        <f>"福山市大黒町2-32"</f>
        <v>福山市大黒町2-32</v>
      </c>
      <c r="C480" s="2">
        <v>46387</v>
      </c>
    </row>
    <row r="481" spans="1:3" x14ac:dyDescent="0.4">
      <c r="A481" s="1" t="s">
        <v>187</v>
      </c>
      <c r="B481" s="1" t="str">
        <f>"福山市大門町1-39-18"</f>
        <v>福山市大門町1-39-18</v>
      </c>
      <c r="C481" s="2">
        <v>46387</v>
      </c>
    </row>
    <row r="482" spans="1:3" x14ac:dyDescent="0.4">
      <c r="A482" s="1" t="s">
        <v>306</v>
      </c>
      <c r="B482" s="1" t="str">
        <f>"福山市大門町3-19-16"</f>
        <v>福山市大門町3-19-16</v>
      </c>
      <c r="C482" s="2">
        <v>46387</v>
      </c>
    </row>
    <row r="483" spans="1:3" x14ac:dyDescent="0.4">
      <c r="A483" s="1" t="s">
        <v>370</v>
      </c>
      <c r="B483" s="1" t="str">
        <f>"福山市大門町3-28-1"</f>
        <v>福山市大門町3-28-1</v>
      </c>
      <c r="C483" s="2">
        <v>46387</v>
      </c>
    </row>
    <row r="484" spans="1:3" x14ac:dyDescent="0.4">
      <c r="A484" s="1" t="s">
        <v>642</v>
      </c>
      <c r="B484" s="1" t="s">
        <v>643</v>
      </c>
      <c r="C484" s="2">
        <v>46752</v>
      </c>
    </row>
    <row r="485" spans="1:3" x14ac:dyDescent="0.4">
      <c r="A485" s="1" t="s">
        <v>588</v>
      </c>
      <c r="B485" s="1" t="str">
        <f>"福山市東桜町11-10"</f>
        <v>福山市東桜町11-10</v>
      </c>
      <c r="C485" s="2">
        <v>46387</v>
      </c>
    </row>
    <row r="486" spans="1:3" x14ac:dyDescent="0.4">
      <c r="A486" s="1" t="s">
        <v>262</v>
      </c>
      <c r="B486" s="1" t="str">
        <f>"福山市東桜町1-43"</f>
        <v>福山市東桜町1-43</v>
      </c>
      <c r="C486" s="2">
        <v>46387</v>
      </c>
    </row>
    <row r="487" spans="1:3" x14ac:dyDescent="0.4">
      <c r="A487" s="1" t="s">
        <v>87</v>
      </c>
      <c r="B487" s="1" t="str">
        <f>"福山市東手城町1-3-11"</f>
        <v>福山市東手城町1-3-11</v>
      </c>
      <c r="C487" s="2">
        <v>46387</v>
      </c>
    </row>
    <row r="488" spans="1:3" x14ac:dyDescent="0.4">
      <c r="A488" s="1" t="s">
        <v>264</v>
      </c>
      <c r="B488" s="1" t="str">
        <f>"福山市東手城町3-12-13"</f>
        <v>福山市東手城町3-12-13</v>
      </c>
      <c r="C488" s="2">
        <v>46387</v>
      </c>
    </row>
    <row r="489" spans="1:3" x14ac:dyDescent="0.4">
      <c r="A489" s="1" t="s">
        <v>360</v>
      </c>
      <c r="B489" s="1" t="str">
        <f>"福山市東深津町1-11-7"</f>
        <v>福山市東深津町1-11-7</v>
      </c>
      <c r="C489" s="2">
        <v>46387</v>
      </c>
    </row>
    <row r="490" spans="1:3" x14ac:dyDescent="0.4">
      <c r="A490" s="1" t="s">
        <v>234</v>
      </c>
      <c r="B490" s="1" t="str">
        <f>"福山市東深津町2-7-35"</f>
        <v>福山市東深津町2-7-35</v>
      </c>
      <c r="C490" s="2">
        <v>47118</v>
      </c>
    </row>
    <row r="491" spans="1:3" x14ac:dyDescent="0.4">
      <c r="A491" s="1" t="s">
        <v>203</v>
      </c>
      <c r="B491" s="1" t="str">
        <f>"福山市東深津町2-7-47"</f>
        <v>福山市東深津町2-7-47</v>
      </c>
      <c r="C491" s="2">
        <v>47118</v>
      </c>
    </row>
    <row r="492" spans="1:3" x14ac:dyDescent="0.4">
      <c r="A492" s="1" t="s">
        <v>637</v>
      </c>
      <c r="B492" s="1" t="str">
        <f>"福山市東深津町2-8-31"</f>
        <v>福山市東深津町2-8-31</v>
      </c>
      <c r="C492" s="2">
        <v>46387</v>
      </c>
    </row>
    <row r="493" spans="1:3" x14ac:dyDescent="0.4">
      <c r="A493" s="1" t="s">
        <v>646</v>
      </c>
      <c r="B493" s="1" t="str">
        <f>"福山市東深津町3-23-44"</f>
        <v>福山市東深津町3-23-44</v>
      </c>
      <c r="C493" s="2">
        <v>46752</v>
      </c>
    </row>
    <row r="494" spans="1:3" x14ac:dyDescent="0.4">
      <c r="A494" s="1" t="s">
        <v>8</v>
      </c>
      <c r="B494" s="1" t="str">
        <f>"福山市東陽台2-16-10"</f>
        <v>福山市東陽台2-16-10</v>
      </c>
      <c r="C494" s="2">
        <v>46387</v>
      </c>
    </row>
    <row r="495" spans="1:3" x14ac:dyDescent="0.4">
      <c r="A495" s="1" t="s">
        <v>312</v>
      </c>
      <c r="B495" s="1" t="str">
        <f>"福山市藤江町1725-8"</f>
        <v>福山市藤江町1725-8</v>
      </c>
      <c r="C495" s="2">
        <v>46752</v>
      </c>
    </row>
    <row r="496" spans="1:3" x14ac:dyDescent="0.4">
      <c r="A496" s="1" t="s">
        <v>568</v>
      </c>
      <c r="B496" s="1" t="str">
        <f>"福山市道三町5-15"</f>
        <v>福山市道三町5-15</v>
      </c>
      <c r="C496" s="2">
        <v>46387</v>
      </c>
    </row>
    <row r="497" spans="1:3" x14ac:dyDescent="0.4">
      <c r="A497" s="1" t="s">
        <v>123</v>
      </c>
      <c r="B497" s="1" t="str">
        <f>"福山市内海町ロ351-1"</f>
        <v>福山市内海町ロ351-1</v>
      </c>
      <c r="C497" s="2">
        <v>46387</v>
      </c>
    </row>
    <row r="498" spans="1:3" x14ac:dyDescent="0.4">
      <c r="A498" s="1" t="s">
        <v>620</v>
      </c>
      <c r="B498" s="1" t="str">
        <f>"福山市南蔵王町1-10-16"</f>
        <v>福山市南蔵王町1-10-16</v>
      </c>
      <c r="C498" s="2">
        <v>47118</v>
      </c>
    </row>
    <row r="499" spans="1:3" x14ac:dyDescent="0.4">
      <c r="A499" s="1" t="s">
        <v>218</v>
      </c>
      <c r="B499" s="1" t="str">
        <f>"福山市南蔵王町1-7-17"</f>
        <v>福山市南蔵王町1-7-17</v>
      </c>
      <c r="C499" s="2">
        <v>46387</v>
      </c>
    </row>
    <row r="500" spans="1:3" x14ac:dyDescent="0.4">
      <c r="A500" s="1" t="s">
        <v>38</v>
      </c>
      <c r="B500" s="1" t="str">
        <f>"福山市南蔵王町3-17-10"</f>
        <v>福山市南蔵王町3-17-10</v>
      </c>
      <c r="C500" s="2">
        <v>47118</v>
      </c>
    </row>
    <row r="501" spans="1:3" x14ac:dyDescent="0.4">
      <c r="A501" s="1" t="s">
        <v>1</v>
      </c>
      <c r="B501" s="1" t="str">
        <f>"福山市南蔵王町3-8-10"</f>
        <v>福山市南蔵王町3-8-10</v>
      </c>
      <c r="C501" s="2">
        <v>46387</v>
      </c>
    </row>
    <row r="502" spans="1:3" x14ac:dyDescent="0.4">
      <c r="A502" s="1" t="s">
        <v>624</v>
      </c>
      <c r="B502" s="1" t="str">
        <f>"福山市南蔵王町4-12-27"</f>
        <v>福山市南蔵王町4-12-27</v>
      </c>
      <c r="C502" s="2">
        <v>45657</v>
      </c>
    </row>
    <row r="503" spans="1:3" x14ac:dyDescent="0.4">
      <c r="A503" s="1" t="s">
        <v>158</v>
      </c>
      <c r="B503" s="1" t="str">
        <f>"福山市南蔵王町5-14-10"</f>
        <v>福山市南蔵王町5-14-10</v>
      </c>
      <c r="C503" s="2">
        <v>46387</v>
      </c>
    </row>
    <row r="504" spans="1:3" x14ac:dyDescent="0.4">
      <c r="A504" s="1" t="s">
        <v>591</v>
      </c>
      <c r="B504" s="1" t="str">
        <f>"福山市南蔵王町5-22-34"</f>
        <v>福山市南蔵王町5-22-34</v>
      </c>
      <c r="C504" s="2">
        <v>46387</v>
      </c>
    </row>
    <row r="505" spans="1:3" x14ac:dyDescent="0.4">
      <c r="A505" s="1" t="s">
        <v>576</v>
      </c>
      <c r="B505" s="1" t="str">
        <f>"福山市南蔵王町6-20-11"</f>
        <v>福山市南蔵王町6-20-11</v>
      </c>
      <c r="C505" s="2">
        <v>46387</v>
      </c>
    </row>
    <row r="506" spans="1:3" x14ac:dyDescent="0.4">
      <c r="A506" s="1" t="s">
        <v>23</v>
      </c>
      <c r="B506" s="1" t="str">
        <f>"福山市南蔵王町6-20-20"</f>
        <v>福山市南蔵王町6-20-20</v>
      </c>
      <c r="C506" s="2">
        <v>46022</v>
      </c>
    </row>
    <row r="507" spans="1:3" x14ac:dyDescent="0.4">
      <c r="A507" s="1" t="s">
        <v>636</v>
      </c>
      <c r="B507" s="1" t="str">
        <f>"福山市南蔵王町6-2-5"</f>
        <v>福山市南蔵王町6-2-5</v>
      </c>
      <c r="C507" s="2">
        <v>46387</v>
      </c>
    </row>
    <row r="508" spans="1:3" x14ac:dyDescent="0.4">
      <c r="A508" s="1" t="s">
        <v>563</v>
      </c>
      <c r="B508" s="1" t="str">
        <f>"福山市南町2-12"</f>
        <v>福山市南町2-12</v>
      </c>
      <c r="C508" s="2">
        <v>46752</v>
      </c>
    </row>
    <row r="509" spans="1:3" x14ac:dyDescent="0.4">
      <c r="A509" s="1" t="s">
        <v>581</v>
      </c>
      <c r="B509" s="1" t="str">
        <f>"福山市南本庄3-2-16"</f>
        <v>福山市南本庄3-2-16</v>
      </c>
      <c r="C509" s="2">
        <v>46387</v>
      </c>
    </row>
    <row r="510" spans="1:3" x14ac:dyDescent="0.4">
      <c r="A510" s="1" t="s">
        <v>162</v>
      </c>
      <c r="B510" s="1" t="str">
        <f>"福山市入船町1-7-26"</f>
        <v>福山市入船町1-7-26</v>
      </c>
      <c r="C510" s="2">
        <v>46387</v>
      </c>
    </row>
    <row r="511" spans="1:3" x14ac:dyDescent="0.4">
      <c r="A511" s="1" t="s">
        <v>364</v>
      </c>
      <c r="B511" s="1" t="str">
        <f>"福山市宝町2-21"</f>
        <v>福山市宝町2-21</v>
      </c>
      <c r="C511" s="2">
        <v>47118</v>
      </c>
    </row>
    <row r="512" spans="1:3" x14ac:dyDescent="0.4">
      <c r="A512" s="1" t="s">
        <v>638</v>
      </c>
      <c r="B512" s="1" t="str">
        <f>"福山市北吉津町3-11-19"</f>
        <v>福山市北吉津町3-11-19</v>
      </c>
      <c r="C512" s="2">
        <v>46387</v>
      </c>
    </row>
    <row r="513" spans="1:3" x14ac:dyDescent="0.4">
      <c r="A513" s="1" t="s">
        <v>647</v>
      </c>
      <c r="B513" s="1" t="str">
        <f>"福山市本郷町1598-1"</f>
        <v>福山市本郷町1598-1</v>
      </c>
      <c r="C513" s="2">
        <v>47118</v>
      </c>
    </row>
    <row r="514" spans="1:3" x14ac:dyDescent="0.4">
      <c r="A514" s="1" t="s">
        <v>613</v>
      </c>
      <c r="B514" s="1" t="str">
        <f>"福山市幕山台1-1-1"</f>
        <v>福山市幕山台1-1-1</v>
      </c>
      <c r="C514" s="2">
        <v>46387</v>
      </c>
    </row>
    <row r="515" spans="1:3" x14ac:dyDescent="0.4">
      <c r="A515" s="1" t="s">
        <v>279</v>
      </c>
      <c r="B515" s="1" t="str">
        <f>"福山市幕山台8-1-33"</f>
        <v>福山市幕山台8-1-33</v>
      </c>
      <c r="C515" s="2">
        <v>46752</v>
      </c>
    </row>
    <row r="516" spans="1:3" x14ac:dyDescent="0.4">
      <c r="A516" s="1" t="s">
        <v>66</v>
      </c>
      <c r="B516" s="1" t="str">
        <f>"福山市明王台3-12-36"</f>
        <v>福山市明王台3-12-36</v>
      </c>
      <c r="C516" s="2">
        <v>46387</v>
      </c>
    </row>
    <row r="517" spans="1:3" x14ac:dyDescent="0.4">
      <c r="A517" s="1" t="s">
        <v>569</v>
      </c>
      <c r="B517" s="1" t="s">
        <v>232</v>
      </c>
      <c r="C517" s="2">
        <v>46387</v>
      </c>
    </row>
    <row r="518" spans="1:3" x14ac:dyDescent="0.4">
      <c r="A518" s="1" t="s">
        <v>61</v>
      </c>
      <c r="B518" s="1" t="str">
        <f>"福山市明神町2-10-3"</f>
        <v>福山市明神町2-10-3</v>
      </c>
      <c r="C518" s="2">
        <v>46387</v>
      </c>
    </row>
    <row r="519" spans="1:3" x14ac:dyDescent="0.4">
      <c r="A519" s="1" t="s">
        <v>97</v>
      </c>
      <c r="B519" s="1" t="str">
        <f>"福山市明神町2-1-30"</f>
        <v>福山市明神町2-1-30</v>
      </c>
      <c r="C519" s="2">
        <v>47118</v>
      </c>
    </row>
    <row r="520" spans="1:3" x14ac:dyDescent="0.4">
      <c r="A520" s="1" t="s">
        <v>122</v>
      </c>
      <c r="B520" s="1" t="str">
        <f>"福山市木之庄町1-11-12"</f>
        <v>福山市木之庄町1-11-12</v>
      </c>
      <c r="C520" s="2">
        <v>46022</v>
      </c>
    </row>
    <row r="521" spans="1:3" x14ac:dyDescent="0.4">
      <c r="A521" s="1" t="s">
        <v>209</v>
      </c>
      <c r="B521" s="1" t="str">
        <f>"福山市木之庄町2-7-1"</f>
        <v>福山市木之庄町2-7-1</v>
      </c>
      <c r="C521" s="2">
        <v>46387</v>
      </c>
    </row>
    <row r="522" spans="1:3" x14ac:dyDescent="0.4">
      <c r="A522" s="1" t="s">
        <v>495</v>
      </c>
      <c r="B522" s="1" t="str">
        <f>"福山市木之庄町2-7-3"</f>
        <v>福山市木之庄町2-7-3</v>
      </c>
      <c r="C522" s="2">
        <v>46387</v>
      </c>
    </row>
    <row r="523" spans="1:3" x14ac:dyDescent="0.4">
      <c r="A523" s="1" t="s">
        <v>619</v>
      </c>
      <c r="B523" s="1" t="str">
        <f>"福山市野上町1-5-28"</f>
        <v>福山市野上町1-5-28</v>
      </c>
      <c r="C523" s="2">
        <v>47118</v>
      </c>
    </row>
    <row r="524" spans="1:3" x14ac:dyDescent="0.4">
      <c r="A524" s="1" t="s">
        <v>654</v>
      </c>
      <c r="B524" s="1" t="str">
        <f>"福山市野上町2-10-22"</f>
        <v>福山市野上町2-10-22</v>
      </c>
      <c r="C524" s="2">
        <v>47118</v>
      </c>
    </row>
    <row r="525" spans="1:3" x14ac:dyDescent="0.4">
      <c r="A525" s="1" t="s">
        <v>598</v>
      </c>
      <c r="B525" s="1" t="str">
        <f>"福山市野上町2-6-8"</f>
        <v>福山市野上町2-6-8</v>
      </c>
      <c r="C525" s="2">
        <v>46387</v>
      </c>
    </row>
    <row r="526" spans="1:3" x14ac:dyDescent="0.4">
      <c r="A526" s="1" t="s">
        <v>28</v>
      </c>
      <c r="B526" s="1" t="str">
        <f>"福山市野上町3-12-1"</f>
        <v>福山市野上町3-12-1</v>
      </c>
      <c r="C526" s="2">
        <v>46387</v>
      </c>
    </row>
    <row r="527" spans="1:3" x14ac:dyDescent="0.4">
      <c r="A527" s="1" t="s">
        <v>331</v>
      </c>
      <c r="B527" s="1" t="str">
        <f>"福山市野上町3-6-5"</f>
        <v>福山市野上町3-6-5</v>
      </c>
      <c r="C527" s="2">
        <v>47118</v>
      </c>
    </row>
    <row r="528" spans="1:3" x14ac:dyDescent="0.4">
      <c r="A528" s="1" t="s">
        <v>616</v>
      </c>
      <c r="B528" s="1" t="str">
        <f>"福山市柳津町1-2-29"</f>
        <v>福山市柳津町1-2-29</v>
      </c>
      <c r="C528" s="2">
        <v>46387</v>
      </c>
    </row>
    <row r="529" spans="1:3" x14ac:dyDescent="0.4">
      <c r="A529" s="1" t="s">
        <v>53</v>
      </c>
      <c r="B529" s="1" t="str">
        <f>"福山市柳津町4-217"</f>
        <v>福山市柳津町4-217</v>
      </c>
      <c r="C529" s="2">
        <v>46387</v>
      </c>
    </row>
    <row r="530" spans="1:3" x14ac:dyDescent="0.4">
      <c r="A530" s="1" t="s">
        <v>572</v>
      </c>
      <c r="B530" s="1" t="str">
        <f>"福山市柳津町平岩311-1"</f>
        <v>福山市柳津町平岩311-1</v>
      </c>
      <c r="C530" s="2">
        <v>46387</v>
      </c>
    </row>
    <row r="531" spans="1:3" x14ac:dyDescent="0.4">
      <c r="A531" s="1" t="s">
        <v>344</v>
      </c>
      <c r="B531" s="1" t="str">
        <f>"福山市緑町1-30"</f>
        <v>福山市緑町1-30</v>
      </c>
      <c r="C531" s="2">
        <v>46387</v>
      </c>
    </row>
    <row r="532" spans="1:3" x14ac:dyDescent="0.4">
      <c r="A532" s="1" t="s">
        <v>599</v>
      </c>
      <c r="B532" s="1" t="str">
        <f>"福山市緑町2-40"</f>
        <v>福山市緑町2-40</v>
      </c>
      <c r="C532" s="2">
        <v>46387</v>
      </c>
    </row>
    <row r="533" spans="1:3" x14ac:dyDescent="0.4">
      <c r="A533" s="1" t="s">
        <v>562</v>
      </c>
      <c r="B533" s="1" t="str">
        <f>"福山市鞆町鞆327-2"</f>
        <v>福山市鞆町鞆327-2</v>
      </c>
      <c r="C533" s="2">
        <v>46387</v>
      </c>
    </row>
    <row r="534" spans="1:3" x14ac:dyDescent="0.4">
      <c r="A534" s="1" t="s">
        <v>666</v>
      </c>
      <c r="B534" s="1" t="str">
        <f>"府中市鵜飼町555-12"</f>
        <v>府中市鵜飼町555-12</v>
      </c>
      <c r="C534" s="2">
        <v>46387</v>
      </c>
    </row>
    <row r="535" spans="1:3" x14ac:dyDescent="0.4">
      <c r="A535" s="1" t="s">
        <v>670</v>
      </c>
      <c r="B535" s="1" t="str">
        <f>"府中市鵜飼町555-33"</f>
        <v>府中市鵜飼町555-33</v>
      </c>
      <c r="C535" s="2">
        <v>46387</v>
      </c>
    </row>
    <row r="536" spans="1:3" x14ac:dyDescent="0.4">
      <c r="A536" s="1" t="s">
        <v>171</v>
      </c>
      <c r="B536" s="1" t="str">
        <f>"府中市鵜飼町555-38"</f>
        <v>府中市鵜飼町555-38</v>
      </c>
      <c r="C536" s="2">
        <v>46752</v>
      </c>
    </row>
    <row r="537" spans="1:3" x14ac:dyDescent="0.4">
      <c r="A537" s="1" t="s">
        <v>665</v>
      </c>
      <c r="B537" s="1" t="str">
        <f>"府中市鵜飼町599-6"</f>
        <v>府中市鵜飼町599-6</v>
      </c>
      <c r="C537" s="2">
        <v>46387</v>
      </c>
    </row>
    <row r="538" spans="1:3" x14ac:dyDescent="0.4">
      <c r="A538" s="1" t="s">
        <v>667</v>
      </c>
      <c r="B538" s="1" t="s">
        <v>98</v>
      </c>
      <c r="C538" s="2">
        <v>46387</v>
      </c>
    </row>
    <row r="539" spans="1:3" x14ac:dyDescent="0.4">
      <c r="A539" s="1" t="s">
        <v>659</v>
      </c>
      <c r="B539" s="1" t="str">
        <f>"府中市栗柄町2203-1"</f>
        <v>府中市栗柄町2203-1</v>
      </c>
      <c r="C539" s="2">
        <v>46387</v>
      </c>
    </row>
    <row r="540" spans="1:3" x14ac:dyDescent="0.4">
      <c r="A540" s="1" t="s">
        <v>227</v>
      </c>
      <c r="B540" s="1" t="str">
        <f>"府中市元町591-1"</f>
        <v>府中市元町591-1</v>
      </c>
      <c r="C540" s="2">
        <v>46387</v>
      </c>
    </row>
    <row r="541" spans="1:3" x14ac:dyDescent="0.4">
      <c r="A541" s="1" t="s">
        <v>674</v>
      </c>
      <c r="B541" s="1" t="str">
        <f>"府中市元町9-1"</f>
        <v>府中市元町9-1</v>
      </c>
      <c r="C541" s="2">
        <v>46022</v>
      </c>
    </row>
    <row r="542" spans="1:3" x14ac:dyDescent="0.4">
      <c r="A542" s="1" t="s">
        <v>675</v>
      </c>
      <c r="B542" s="1" t="str">
        <f>"府中市高木町189-4"</f>
        <v>府中市高木町189-4</v>
      </c>
      <c r="C542" s="2">
        <v>46387</v>
      </c>
    </row>
    <row r="543" spans="1:3" x14ac:dyDescent="0.4">
      <c r="A543" s="1" t="s">
        <v>300</v>
      </c>
      <c r="B543" s="1" t="str">
        <f>"府中市高木町407-6"</f>
        <v>府中市高木町407-6</v>
      </c>
      <c r="C543" s="2">
        <v>46387</v>
      </c>
    </row>
    <row r="544" spans="1:3" x14ac:dyDescent="0.4">
      <c r="A544" s="1" t="s">
        <v>671</v>
      </c>
      <c r="B544" s="1" t="s">
        <v>672</v>
      </c>
      <c r="C544" s="2">
        <v>47118</v>
      </c>
    </row>
    <row r="545" spans="1:3" x14ac:dyDescent="0.4">
      <c r="A545" s="1" t="s">
        <v>879</v>
      </c>
      <c r="B545" s="1" t="s">
        <v>880</v>
      </c>
      <c r="C545" s="2">
        <v>46387</v>
      </c>
    </row>
    <row r="546" spans="1:3" x14ac:dyDescent="0.4">
      <c r="A546" s="1" t="s">
        <v>661</v>
      </c>
      <c r="B546" s="1" t="str">
        <f>"府中市上下町上下1039-1"</f>
        <v>府中市上下町上下1039-1</v>
      </c>
      <c r="C546" s="2">
        <v>46387</v>
      </c>
    </row>
    <row r="547" spans="1:3" x14ac:dyDescent="0.4">
      <c r="A547" s="1" t="s">
        <v>662</v>
      </c>
      <c r="B547" s="1" t="str">
        <f>"府中市上下町上下2097-1"</f>
        <v>府中市上下町上下2097-1</v>
      </c>
      <c r="C547" s="2">
        <v>46387</v>
      </c>
    </row>
    <row r="548" spans="1:3" x14ac:dyDescent="0.4">
      <c r="A548" s="1" t="s">
        <v>663</v>
      </c>
      <c r="B548" s="1" t="str">
        <f>"府中市上下町上下970-3"</f>
        <v>府中市上下町上下970-3</v>
      </c>
      <c r="C548" s="2">
        <v>46387</v>
      </c>
    </row>
    <row r="549" spans="1:3" x14ac:dyDescent="0.4">
      <c r="A549" s="1" t="s">
        <v>664</v>
      </c>
      <c r="B549" s="1" t="str">
        <f>"府中市上下町深江476-2"</f>
        <v>府中市上下町深江476-2</v>
      </c>
      <c r="C549" s="2">
        <v>46387</v>
      </c>
    </row>
    <row r="550" spans="1:3" x14ac:dyDescent="0.4">
      <c r="A550" s="1" t="s">
        <v>297</v>
      </c>
      <c r="B550" s="1" t="str">
        <f>"府中市中須町10-1"</f>
        <v>府中市中須町10-1</v>
      </c>
      <c r="C550" s="2">
        <v>46387</v>
      </c>
    </row>
    <row r="551" spans="1:3" x14ac:dyDescent="0.4">
      <c r="A551" s="1" t="s">
        <v>610</v>
      </c>
      <c r="B551" s="1" t="str">
        <f>"府中市中須町1695-3"</f>
        <v>府中市中須町1695-3</v>
      </c>
      <c r="C551" s="2">
        <v>46387</v>
      </c>
    </row>
    <row r="552" spans="1:3" x14ac:dyDescent="0.4">
      <c r="A552" s="1" t="s">
        <v>658</v>
      </c>
      <c r="B552" s="1" t="str">
        <f>"府中市中須町27-3"</f>
        <v>府中市中須町27-3</v>
      </c>
      <c r="C552" s="2">
        <v>46387</v>
      </c>
    </row>
    <row r="553" spans="1:3" x14ac:dyDescent="0.4">
      <c r="A553" s="1" t="s">
        <v>668</v>
      </c>
      <c r="B553" s="1" t="str">
        <f>"府中市土生町1572-3"</f>
        <v>府中市土生町1572-3</v>
      </c>
      <c r="C553" s="2">
        <v>46387</v>
      </c>
    </row>
    <row r="554" spans="1:3" x14ac:dyDescent="0.4">
      <c r="A554" s="1" t="s">
        <v>83</v>
      </c>
      <c r="B554" s="1" t="str">
        <f>"府中市府川町100-17"</f>
        <v>府中市府川町100-17</v>
      </c>
      <c r="C554" s="2">
        <v>47483</v>
      </c>
    </row>
    <row r="555" spans="1:3" x14ac:dyDescent="0.4">
      <c r="A555" s="1" t="s">
        <v>188</v>
      </c>
      <c r="B555" s="1" t="s">
        <v>119</v>
      </c>
      <c r="C555" s="2">
        <v>46387</v>
      </c>
    </row>
    <row r="556" spans="1:3" x14ac:dyDescent="0.4">
      <c r="A556" s="1" t="s">
        <v>673</v>
      </c>
      <c r="B556" s="1" t="str">
        <f>"府中市府川町465-1"</f>
        <v>府中市府川町465-1</v>
      </c>
      <c r="C556" s="2">
        <v>46022</v>
      </c>
    </row>
    <row r="557" spans="1:3" x14ac:dyDescent="0.4">
      <c r="A557" s="1" t="s">
        <v>43</v>
      </c>
      <c r="B557" s="1" t="str">
        <f>"府中市府中町14-29"</f>
        <v>府中市府中町14-29</v>
      </c>
      <c r="C557" s="2">
        <v>46387</v>
      </c>
    </row>
    <row r="558" spans="1:3" x14ac:dyDescent="0.4">
      <c r="A558" s="1" t="s">
        <v>669</v>
      </c>
      <c r="B558" s="1" t="s">
        <v>154</v>
      </c>
      <c r="C558" s="2">
        <v>46387</v>
      </c>
    </row>
    <row r="559" spans="1:3" x14ac:dyDescent="0.4">
      <c r="A559" s="1" t="s">
        <v>156</v>
      </c>
      <c r="B559" s="1" t="s">
        <v>256</v>
      </c>
      <c r="C559" s="2">
        <v>46387</v>
      </c>
    </row>
    <row r="560" spans="1:3" x14ac:dyDescent="0.4">
      <c r="A560" s="1" t="s">
        <v>689</v>
      </c>
      <c r="B560" s="1" t="str">
        <f>"三次市下志和地町703-1"</f>
        <v>三次市下志和地町703-1</v>
      </c>
      <c r="C560" s="2">
        <v>46387</v>
      </c>
    </row>
    <row r="561" spans="1:3" x14ac:dyDescent="0.4">
      <c r="A561" s="1" t="s">
        <v>509</v>
      </c>
      <c r="B561" s="1" t="str">
        <f>"三次市江田川之内町1368-3"</f>
        <v>三次市江田川之内町1368-3</v>
      </c>
      <c r="C561" s="2">
        <v>46387</v>
      </c>
    </row>
    <row r="562" spans="1:3" x14ac:dyDescent="0.4">
      <c r="A562" s="1" t="s">
        <v>687</v>
      </c>
      <c r="B562" s="1" t="str">
        <f>"三次市甲奴町本郷636-11"</f>
        <v>三次市甲奴町本郷636-11</v>
      </c>
      <c r="C562" s="2">
        <v>46387</v>
      </c>
    </row>
    <row r="563" spans="1:3" x14ac:dyDescent="0.4">
      <c r="A563" s="1" t="s">
        <v>683</v>
      </c>
      <c r="B563" s="1" t="str">
        <f>"三次市作木町下作木1510-2"</f>
        <v>三次市作木町下作木1510-2</v>
      </c>
      <c r="C563" s="2">
        <v>46387</v>
      </c>
    </row>
    <row r="564" spans="1:3" x14ac:dyDescent="0.4">
      <c r="A564" s="1" t="s">
        <v>585</v>
      </c>
      <c r="B564" s="1" t="str">
        <f>"三次市三次町1086-1"</f>
        <v>三次市三次町1086-1</v>
      </c>
      <c r="C564" s="2">
        <v>46387</v>
      </c>
    </row>
    <row r="565" spans="1:3" x14ac:dyDescent="0.4">
      <c r="A565" s="1" t="s">
        <v>210</v>
      </c>
      <c r="B565" s="1" t="s">
        <v>694</v>
      </c>
      <c r="C565" s="2">
        <v>47118</v>
      </c>
    </row>
    <row r="566" spans="1:3" x14ac:dyDescent="0.4">
      <c r="A566" s="1" t="s">
        <v>354</v>
      </c>
      <c r="B566" s="1" t="str">
        <f>"三次市三良坂町三良坂字高木2634-5"</f>
        <v>三次市三良坂町三良坂字高木2634-5</v>
      </c>
      <c r="C566" s="2">
        <v>46387</v>
      </c>
    </row>
    <row r="567" spans="1:3" x14ac:dyDescent="0.4">
      <c r="A567" s="1" t="s">
        <v>483</v>
      </c>
      <c r="B567" s="1" t="str">
        <f>"三次市四拾貫町9-1"</f>
        <v>三次市四拾貫町9-1</v>
      </c>
      <c r="C567" s="2">
        <v>46387</v>
      </c>
    </row>
    <row r="568" spans="1:3" x14ac:dyDescent="0.4">
      <c r="A568" s="1" t="s">
        <v>695</v>
      </c>
      <c r="B568" s="1" t="str">
        <f>"三次市十日市中1-1-10"</f>
        <v>三次市十日市中1-1-10</v>
      </c>
      <c r="C568" s="2">
        <v>47118</v>
      </c>
    </row>
    <row r="569" spans="1:3" x14ac:dyDescent="0.4">
      <c r="A569" s="1" t="s">
        <v>294</v>
      </c>
      <c r="B569" s="1" t="str">
        <f>"三次市十日市中1-2-2"</f>
        <v>三次市十日市中1-2-2</v>
      </c>
      <c r="C569" s="2">
        <v>46752</v>
      </c>
    </row>
    <row r="570" spans="1:3" x14ac:dyDescent="0.4">
      <c r="A570" s="1" t="s">
        <v>681</v>
      </c>
      <c r="B570" s="1" t="str">
        <f>"三次市十日市中2-10-23"</f>
        <v>三次市十日市中2-10-23</v>
      </c>
      <c r="C570" s="2">
        <v>46387</v>
      </c>
    </row>
    <row r="571" spans="1:3" x14ac:dyDescent="0.4">
      <c r="A571" s="1" t="s">
        <v>682</v>
      </c>
      <c r="B571" s="1" t="str">
        <f>"三次市十日市中2-13-1"</f>
        <v>三次市十日市中2-13-1</v>
      </c>
      <c r="C571" s="2">
        <v>46387</v>
      </c>
    </row>
    <row r="572" spans="1:3" x14ac:dyDescent="0.4">
      <c r="A572" s="1" t="s">
        <v>686</v>
      </c>
      <c r="B572" s="1" t="str">
        <f>"三次市十日市中3-11-20"</f>
        <v>三次市十日市中3-11-20</v>
      </c>
      <c r="C572" s="2">
        <v>46387</v>
      </c>
    </row>
    <row r="573" spans="1:3" x14ac:dyDescent="0.4">
      <c r="A573" s="1" t="s">
        <v>690</v>
      </c>
      <c r="B573" s="1" t="str">
        <f>"三次市十日市東1-11-2"</f>
        <v>三次市十日市東1-11-2</v>
      </c>
      <c r="C573" s="2">
        <v>46387</v>
      </c>
    </row>
    <row r="574" spans="1:3" x14ac:dyDescent="0.4">
      <c r="A574" s="1" t="s">
        <v>679</v>
      </c>
      <c r="B574" s="1" t="str">
        <f>"三次市十日市東2-3-20"</f>
        <v>三次市十日市東2-3-20</v>
      </c>
      <c r="C574" s="2">
        <v>46387</v>
      </c>
    </row>
    <row r="575" spans="1:3" x14ac:dyDescent="0.4">
      <c r="A575" s="1" t="s">
        <v>212</v>
      </c>
      <c r="B575" s="1" t="str">
        <f>"三次市十日市東4-1-1"</f>
        <v>三次市十日市東4-1-1</v>
      </c>
      <c r="C575" s="2">
        <v>46387</v>
      </c>
    </row>
    <row r="576" spans="1:3" x14ac:dyDescent="0.4">
      <c r="A576" s="1" t="s">
        <v>295</v>
      </c>
      <c r="B576" s="1" t="str">
        <f>"三次市十日市東4-1-30"</f>
        <v>三次市十日市東4-1-30</v>
      </c>
      <c r="C576" s="2">
        <v>46387</v>
      </c>
    </row>
    <row r="577" spans="1:3" x14ac:dyDescent="0.4">
      <c r="A577" s="1" t="s">
        <v>693</v>
      </c>
      <c r="B577" s="1" t="str">
        <f>"三次市十日市東4-3-8"</f>
        <v>三次市十日市東4-3-8</v>
      </c>
      <c r="C577" s="2">
        <v>46752</v>
      </c>
    </row>
    <row r="578" spans="1:3" x14ac:dyDescent="0.4">
      <c r="A578" s="1" t="s">
        <v>684</v>
      </c>
      <c r="B578" s="1" t="str">
        <f>"三次市十日市東4-5-5"</f>
        <v>三次市十日市東4-5-5</v>
      </c>
      <c r="C578" s="2">
        <v>46387</v>
      </c>
    </row>
    <row r="579" spans="1:3" x14ac:dyDescent="0.4">
      <c r="A579" s="1" t="s">
        <v>678</v>
      </c>
      <c r="B579" s="1" t="str">
        <f>"三次市十日市東5-13-37"</f>
        <v>三次市十日市東5-13-37</v>
      </c>
      <c r="C579" s="2">
        <v>46387</v>
      </c>
    </row>
    <row r="580" spans="1:3" x14ac:dyDescent="0.4">
      <c r="A580" s="1" t="s">
        <v>676</v>
      </c>
      <c r="B580" s="1" t="str">
        <f>"三次市十日市東5-16-10"</f>
        <v>三次市十日市東5-16-10</v>
      </c>
      <c r="C580" s="2">
        <v>46387</v>
      </c>
    </row>
    <row r="581" spans="1:3" x14ac:dyDescent="0.4">
      <c r="A581" s="1" t="s">
        <v>685</v>
      </c>
      <c r="B581" s="1" t="str">
        <f>"三次市十日市南5-9-21"</f>
        <v>三次市十日市南5-9-21</v>
      </c>
      <c r="C581" s="2">
        <v>46387</v>
      </c>
    </row>
    <row r="582" spans="1:3" x14ac:dyDescent="0.4">
      <c r="A582" s="1" t="s">
        <v>275</v>
      </c>
      <c r="B582" s="1" t="str">
        <f>"三次市東酒屋町354-10"</f>
        <v>三次市東酒屋町354-10</v>
      </c>
      <c r="C582" s="2">
        <v>46387</v>
      </c>
    </row>
    <row r="583" spans="1:3" x14ac:dyDescent="0.4">
      <c r="A583" s="1" t="s">
        <v>680</v>
      </c>
      <c r="B583" s="1" t="str">
        <f>"三次市東酒屋町586-5"</f>
        <v>三次市東酒屋町586-5</v>
      </c>
      <c r="C583" s="2">
        <v>46387</v>
      </c>
    </row>
    <row r="584" spans="1:3" x14ac:dyDescent="0.4">
      <c r="A584" s="1" t="s">
        <v>692</v>
      </c>
      <c r="B584" s="1" t="str">
        <f>"三次市東酒屋町587-1-2F"</f>
        <v>三次市東酒屋町587-1-2F</v>
      </c>
      <c r="C584" s="2">
        <v>46387</v>
      </c>
    </row>
    <row r="585" spans="1:3" x14ac:dyDescent="0.4">
      <c r="A585" s="1" t="s">
        <v>691</v>
      </c>
      <c r="B585" s="1" t="str">
        <f>"三次市南畑敷町140-2"</f>
        <v>三次市南畑敷町140-2</v>
      </c>
      <c r="C585" s="2">
        <v>46752</v>
      </c>
    </row>
    <row r="586" spans="1:3" x14ac:dyDescent="0.4">
      <c r="A586" s="1" t="s">
        <v>35</v>
      </c>
      <c r="B586" s="1" t="str">
        <f>"三次市南畑敷町330-1"</f>
        <v>三次市南畑敷町330-1</v>
      </c>
      <c r="C586" s="2">
        <v>46387</v>
      </c>
    </row>
    <row r="587" spans="1:3" x14ac:dyDescent="0.4">
      <c r="A587" s="1" t="s">
        <v>80</v>
      </c>
      <c r="B587" s="1" t="str">
        <f>"三次市南畑敷町78-7"</f>
        <v>三次市南畑敷町78-7</v>
      </c>
      <c r="C587" s="2">
        <v>46022</v>
      </c>
    </row>
    <row r="588" spans="1:3" x14ac:dyDescent="0.4">
      <c r="A588" s="1" t="s">
        <v>688</v>
      </c>
      <c r="B588" s="1" t="str">
        <f>"三次市布野町上布野字小原1491-2"</f>
        <v>三次市布野町上布野字小原1491-2</v>
      </c>
      <c r="C588" s="2">
        <v>46387</v>
      </c>
    </row>
    <row r="589" spans="1:3" x14ac:dyDescent="0.4">
      <c r="A589" s="1" t="s">
        <v>522</v>
      </c>
      <c r="B589" s="1" t="str">
        <f>"庄原市口和町永田509-4"</f>
        <v>庄原市口和町永田509-4</v>
      </c>
      <c r="C589" s="2">
        <v>46387</v>
      </c>
    </row>
    <row r="590" spans="1:3" x14ac:dyDescent="0.4">
      <c r="A590" s="1" t="s">
        <v>198</v>
      </c>
      <c r="B590" s="1" t="str">
        <f>"庄原市高野町新市1150-1"</f>
        <v>庄原市高野町新市1150-1</v>
      </c>
      <c r="C590" s="2">
        <v>47118</v>
      </c>
    </row>
    <row r="591" spans="1:3" x14ac:dyDescent="0.4">
      <c r="A591" s="1" t="s">
        <v>697</v>
      </c>
      <c r="B591" s="1" t="s">
        <v>269</v>
      </c>
      <c r="C591" s="2">
        <v>46387</v>
      </c>
    </row>
    <row r="592" spans="1:3" x14ac:dyDescent="0.4">
      <c r="A592" s="1" t="s">
        <v>701</v>
      </c>
      <c r="B592" s="1" t="str">
        <f>"庄原市西城町中野1341-4"</f>
        <v>庄原市西城町中野1341-4</v>
      </c>
      <c r="C592" s="2">
        <v>46387</v>
      </c>
    </row>
    <row r="593" spans="1:3" x14ac:dyDescent="0.4">
      <c r="A593" s="1" t="s">
        <v>205</v>
      </c>
      <c r="B593" s="1" t="str">
        <f>"庄原市西城町中野1747-2"</f>
        <v>庄原市西城町中野1747-2</v>
      </c>
      <c r="C593" s="2">
        <v>46387</v>
      </c>
    </row>
    <row r="594" spans="1:3" x14ac:dyDescent="0.4">
      <c r="A594" s="1" t="s">
        <v>33</v>
      </c>
      <c r="B594" s="1" t="str">
        <f>"庄原市西本町2-12-10"</f>
        <v>庄原市西本町2-12-10</v>
      </c>
      <c r="C594" s="2">
        <v>46752</v>
      </c>
    </row>
    <row r="595" spans="1:3" x14ac:dyDescent="0.4">
      <c r="A595" s="1" t="s">
        <v>696</v>
      </c>
      <c r="B595" s="1" t="str">
        <f>"庄原市西本町2-15-32"</f>
        <v>庄原市西本町2-15-32</v>
      </c>
      <c r="C595" s="2">
        <v>46387</v>
      </c>
    </row>
    <row r="596" spans="1:3" x14ac:dyDescent="0.4">
      <c r="A596" s="1" t="s">
        <v>317</v>
      </c>
      <c r="B596" s="1" t="str">
        <f>"庄原市川北町158-5"</f>
        <v>庄原市川北町158-5</v>
      </c>
      <c r="C596" s="2">
        <v>46387</v>
      </c>
    </row>
    <row r="597" spans="1:3" x14ac:dyDescent="0.4">
      <c r="A597" s="1" t="s">
        <v>699</v>
      </c>
      <c r="B597" s="1" t="str">
        <f>"庄原市中本町1-7-5"</f>
        <v>庄原市中本町1-7-5</v>
      </c>
      <c r="C597" s="2">
        <v>47483</v>
      </c>
    </row>
    <row r="598" spans="1:3" x14ac:dyDescent="0.4">
      <c r="A598" s="1" t="s">
        <v>68</v>
      </c>
      <c r="B598" s="1" t="str">
        <f>"庄原市東城町川西436-3"</f>
        <v>庄原市東城町川西436-3</v>
      </c>
      <c r="C598" s="2">
        <v>46387</v>
      </c>
    </row>
    <row r="599" spans="1:3" x14ac:dyDescent="0.4">
      <c r="A599" s="1" t="s">
        <v>34</v>
      </c>
      <c r="B599" s="1" t="str">
        <f>"庄原市東城町川西563-3"</f>
        <v>庄原市東城町川西563-3</v>
      </c>
      <c r="C599" s="2">
        <v>46387</v>
      </c>
    </row>
    <row r="600" spans="1:3" x14ac:dyDescent="0.4">
      <c r="A600" s="1" t="s">
        <v>882</v>
      </c>
      <c r="B600" s="1" t="str">
        <f>"庄原市東城町川東1454-4"</f>
        <v>庄原市東城町川東1454-4</v>
      </c>
      <c r="C600" s="2">
        <v>46387</v>
      </c>
    </row>
    <row r="601" spans="1:3" x14ac:dyDescent="0.4">
      <c r="A601" s="1" t="s">
        <v>883</v>
      </c>
      <c r="B601" s="1" t="str">
        <f>"庄原市東城町川東165-16"</f>
        <v>庄原市東城町川東165-16</v>
      </c>
      <c r="C601" s="2">
        <v>46387</v>
      </c>
    </row>
    <row r="602" spans="1:3" x14ac:dyDescent="0.4">
      <c r="A602" s="1" t="s">
        <v>702</v>
      </c>
      <c r="B602" s="1" t="str">
        <f>"庄原市東城町川東165-2"</f>
        <v>庄原市東城町川東165-2</v>
      </c>
      <c r="C602" s="2">
        <v>46752</v>
      </c>
    </row>
    <row r="603" spans="1:3" x14ac:dyDescent="0.4">
      <c r="A603" s="1" t="s">
        <v>881</v>
      </c>
      <c r="B603" s="1" t="s">
        <v>20</v>
      </c>
      <c r="C603" s="2">
        <v>46387</v>
      </c>
    </row>
    <row r="604" spans="1:3" x14ac:dyDescent="0.4">
      <c r="A604" s="1" t="s">
        <v>246</v>
      </c>
      <c r="B604" s="1" t="str">
        <f>"庄原市東城町東城362-2"</f>
        <v>庄原市東城町東城362-2</v>
      </c>
      <c r="C604" s="2">
        <v>46387</v>
      </c>
    </row>
    <row r="605" spans="1:3" x14ac:dyDescent="0.4">
      <c r="A605" s="1" t="s">
        <v>214</v>
      </c>
      <c r="B605" s="1" t="str">
        <f>"庄原市東本町1-1-14"</f>
        <v>庄原市東本町1-1-14</v>
      </c>
      <c r="C605" s="2">
        <v>47483</v>
      </c>
    </row>
    <row r="606" spans="1:3" x14ac:dyDescent="0.4">
      <c r="A606" s="1" t="s">
        <v>109</v>
      </c>
      <c r="B606" s="1" t="str">
        <f>"庄原市板橋町164-1"</f>
        <v>庄原市板橋町164-1</v>
      </c>
      <c r="C606" s="2">
        <v>46387</v>
      </c>
    </row>
    <row r="607" spans="1:3" x14ac:dyDescent="0.4">
      <c r="A607" s="1" t="s">
        <v>698</v>
      </c>
      <c r="B607" s="1" t="str">
        <f>"庄原市板橋町190-6"</f>
        <v>庄原市板橋町190-6</v>
      </c>
      <c r="C607" s="2">
        <v>46752</v>
      </c>
    </row>
    <row r="608" spans="1:3" x14ac:dyDescent="0.4">
      <c r="A608" s="1" t="s">
        <v>707</v>
      </c>
      <c r="B608" s="1" t="str">
        <f>"大竹市玖波1-13-5"</f>
        <v>大竹市玖波1-13-5</v>
      </c>
      <c r="C608" s="2">
        <v>46387</v>
      </c>
    </row>
    <row r="609" spans="1:3" x14ac:dyDescent="0.4">
      <c r="A609" s="1" t="s">
        <v>717</v>
      </c>
      <c r="B609" s="1" t="str">
        <f>"大竹市元町1-11-2"</f>
        <v>大竹市元町1-11-2</v>
      </c>
      <c r="C609" s="2">
        <v>47118</v>
      </c>
    </row>
    <row r="610" spans="1:3" x14ac:dyDescent="0.4">
      <c r="A610" s="1" t="s">
        <v>710</v>
      </c>
      <c r="B610" s="1" t="str">
        <f>"大竹市黒川3-16-16"</f>
        <v>大竹市黒川3-16-16</v>
      </c>
      <c r="C610" s="2">
        <v>46387</v>
      </c>
    </row>
    <row r="611" spans="1:3" x14ac:dyDescent="0.4">
      <c r="A611" s="1" t="s">
        <v>287</v>
      </c>
      <c r="B611" s="1" t="str">
        <f>"大竹市黒川3-16-19"</f>
        <v>大竹市黒川3-16-19</v>
      </c>
      <c r="C611" s="2">
        <v>46387</v>
      </c>
    </row>
    <row r="612" spans="1:3" x14ac:dyDescent="0.4">
      <c r="A612" s="1" t="s">
        <v>708</v>
      </c>
      <c r="B612" s="1" t="str">
        <f>"大竹市黒川3-16-20"</f>
        <v>大竹市黒川3-16-20</v>
      </c>
      <c r="C612" s="2">
        <v>46387</v>
      </c>
    </row>
    <row r="613" spans="1:3" x14ac:dyDescent="0.4">
      <c r="A613" s="1" t="s">
        <v>89</v>
      </c>
      <c r="B613" s="1" t="str">
        <f>"大竹市新町1-12-13"</f>
        <v>大竹市新町1-12-13</v>
      </c>
      <c r="C613" s="2">
        <v>47118</v>
      </c>
    </row>
    <row r="614" spans="1:3" x14ac:dyDescent="0.4">
      <c r="A614" s="1" t="s">
        <v>718</v>
      </c>
      <c r="B614" s="1" t="str">
        <f>"大竹市新町1-2-7"</f>
        <v>大竹市新町1-2-7</v>
      </c>
      <c r="C614" s="2">
        <v>47118</v>
      </c>
    </row>
    <row r="615" spans="1:3" x14ac:dyDescent="0.4">
      <c r="A615" s="1" t="s">
        <v>305</v>
      </c>
      <c r="B615" s="1" t="str">
        <f>"大竹市晴海1-4-13"</f>
        <v>大竹市晴海1-4-13</v>
      </c>
      <c r="C615" s="2">
        <v>46387</v>
      </c>
    </row>
    <row r="616" spans="1:3" x14ac:dyDescent="0.4">
      <c r="A616" s="1" t="s">
        <v>703</v>
      </c>
      <c r="B616" s="1" t="str">
        <f>"大竹市西栄1-12-18"</f>
        <v>大竹市西栄1-12-18</v>
      </c>
      <c r="C616" s="2">
        <v>46387</v>
      </c>
    </row>
    <row r="617" spans="1:3" x14ac:dyDescent="0.4">
      <c r="A617" s="1" t="s">
        <v>719</v>
      </c>
      <c r="B617" s="1" t="str">
        <f>"大竹市西栄3-1-5"</f>
        <v>大竹市西栄3-1-5</v>
      </c>
      <c r="C617" s="2">
        <v>47299</v>
      </c>
    </row>
    <row r="618" spans="1:3" x14ac:dyDescent="0.4">
      <c r="A618" s="1" t="s">
        <v>419</v>
      </c>
      <c r="B618" s="1" t="str">
        <f>"大竹市南栄1-8-7"</f>
        <v>大竹市南栄1-8-7</v>
      </c>
      <c r="C618" s="2">
        <v>46752</v>
      </c>
    </row>
    <row r="619" spans="1:3" x14ac:dyDescent="0.4">
      <c r="A619" s="1" t="s">
        <v>716</v>
      </c>
      <c r="B619" s="1" t="str">
        <f>"大竹市白石1-5-21"</f>
        <v>大竹市白石1-5-21</v>
      </c>
      <c r="C619" s="2">
        <v>46387</v>
      </c>
    </row>
    <row r="620" spans="1:3" x14ac:dyDescent="0.4">
      <c r="A620" s="1" t="s">
        <v>709</v>
      </c>
      <c r="B620" s="1" t="str">
        <f>"大竹市本町1-7-7"</f>
        <v>大竹市本町1-7-7</v>
      </c>
      <c r="C620" s="2">
        <v>46387</v>
      </c>
    </row>
    <row r="621" spans="1:3" x14ac:dyDescent="0.4">
      <c r="A621" s="1" t="s">
        <v>705</v>
      </c>
      <c r="B621" s="1" t="str">
        <f>"大竹市本町2-15-11"</f>
        <v>大竹市本町2-15-11</v>
      </c>
      <c r="C621" s="2">
        <v>46387</v>
      </c>
    </row>
    <row r="622" spans="1:3" x14ac:dyDescent="0.4">
      <c r="A622" s="1" t="s">
        <v>713</v>
      </c>
      <c r="B622" s="1" t="str">
        <f>"大竹市本町2-9-22"</f>
        <v>大竹市本町2-9-22</v>
      </c>
      <c r="C622" s="2">
        <v>46387</v>
      </c>
    </row>
    <row r="623" spans="1:3" x14ac:dyDescent="0.4">
      <c r="A623" s="1" t="s">
        <v>715</v>
      </c>
      <c r="B623" s="1" t="str">
        <f>"大竹市油見1-9-10"</f>
        <v>大竹市油見1-9-10</v>
      </c>
      <c r="C623" s="2">
        <v>45657</v>
      </c>
    </row>
    <row r="624" spans="1:3" x14ac:dyDescent="0.4">
      <c r="A624" s="1" t="s">
        <v>268</v>
      </c>
      <c r="B624" s="1" t="str">
        <f>"大竹市油見3-12-9"</f>
        <v>大竹市油見3-12-9</v>
      </c>
      <c r="C624" s="2">
        <v>46387</v>
      </c>
    </row>
    <row r="625" spans="1:3" x14ac:dyDescent="0.4">
      <c r="A625" s="1" t="s">
        <v>714</v>
      </c>
      <c r="B625" s="1" t="str">
        <f>"大竹市油見3-20-9"</f>
        <v>大竹市油見3-20-9</v>
      </c>
      <c r="C625" s="2">
        <v>47483</v>
      </c>
    </row>
    <row r="626" spans="1:3" x14ac:dyDescent="0.4">
      <c r="A626" s="1" t="s">
        <v>712</v>
      </c>
      <c r="B626" s="1" t="str">
        <f>"大竹市立戸2-6-25"</f>
        <v>大竹市立戸2-6-25</v>
      </c>
      <c r="C626" s="2">
        <v>46387</v>
      </c>
    </row>
    <row r="627" spans="1:3" x14ac:dyDescent="0.4">
      <c r="A627" s="1" t="s">
        <v>706</v>
      </c>
      <c r="B627" s="1" t="str">
        <f>"大竹市立戸3-1-8"</f>
        <v>大竹市立戸3-1-8</v>
      </c>
      <c r="C627" s="2">
        <v>46387</v>
      </c>
    </row>
    <row r="628" spans="1:3" x14ac:dyDescent="0.4">
      <c r="A628" s="1" t="s">
        <v>704</v>
      </c>
      <c r="B628" s="1" t="str">
        <f>"大竹市立戸4-1-30"</f>
        <v>大竹市立戸4-1-30</v>
      </c>
      <c r="C628" s="2">
        <v>47118</v>
      </c>
    </row>
    <row r="629" spans="1:3" x14ac:dyDescent="0.4">
      <c r="A629" s="1" t="s">
        <v>756</v>
      </c>
      <c r="B629" s="1" t="str">
        <f>"東広島市安芸津町三津4394-1"</f>
        <v>東広島市安芸津町三津4394-1</v>
      </c>
      <c r="C629" s="2">
        <v>46387</v>
      </c>
    </row>
    <row r="630" spans="1:3" x14ac:dyDescent="0.4">
      <c r="A630" s="1" t="s">
        <v>75</v>
      </c>
      <c r="B630" s="1" t="s">
        <v>182</v>
      </c>
      <c r="C630" s="2">
        <v>46387</v>
      </c>
    </row>
    <row r="631" spans="1:3" x14ac:dyDescent="0.4">
      <c r="A631" s="1" t="s">
        <v>737</v>
      </c>
      <c r="B631" s="1" t="str">
        <f>"東広島市安芸津町風早1118-2"</f>
        <v>東広島市安芸津町風早1118-2</v>
      </c>
      <c r="C631" s="2">
        <v>46387</v>
      </c>
    </row>
    <row r="632" spans="1:3" x14ac:dyDescent="0.4">
      <c r="A632" s="1" t="s">
        <v>852</v>
      </c>
      <c r="B632" s="1" t="str">
        <f>"東広島市河内町中河内691-1"</f>
        <v>東広島市河内町中河内691-1</v>
      </c>
      <c r="C632" s="2">
        <v>46387</v>
      </c>
    </row>
    <row r="633" spans="1:3" x14ac:dyDescent="0.4">
      <c r="A633" s="1" t="s">
        <v>307</v>
      </c>
      <c r="B633" s="1" t="str">
        <f>"東広島市河内町中河内702-3"</f>
        <v>東広島市河内町中河内702-3</v>
      </c>
      <c r="C633" s="2">
        <v>46387</v>
      </c>
    </row>
    <row r="634" spans="1:3" x14ac:dyDescent="0.4">
      <c r="A634" s="1" t="s">
        <v>323</v>
      </c>
      <c r="B634" s="1" t="str">
        <f>"東広島市高屋高美が丘5-2-1"</f>
        <v>東広島市高屋高美が丘5-2-1</v>
      </c>
      <c r="C634" s="2">
        <v>46387</v>
      </c>
    </row>
    <row r="635" spans="1:3" x14ac:dyDescent="0.4">
      <c r="A635" s="1" t="s">
        <v>173</v>
      </c>
      <c r="B635" s="1" t="str">
        <f>"東広島市高屋町杵原1135-1"</f>
        <v>東広島市高屋町杵原1135-1</v>
      </c>
      <c r="C635" s="2">
        <v>47118</v>
      </c>
    </row>
    <row r="636" spans="1:3" x14ac:dyDescent="0.4">
      <c r="A636" s="1" t="s">
        <v>762</v>
      </c>
      <c r="B636" s="1" t="s">
        <v>601</v>
      </c>
      <c r="C636" s="2">
        <v>46387</v>
      </c>
    </row>
    <row r="637" spans="1:3" x14ac:dyDescent="0.4">
      <c r="A637" s="1" t="s">
        <v>720</v>
      </c>
      <c r="B637" s="1" t="str">
        <f>"東広島市高屋町杵原1311-6"</f>
        <v>東広島市高屋町杵原1311-6</v>
      </c>
      <c r="C637" s="2">
        <v>46387</v>
      </c>
    </row>
    <row r="638" spans="1:3" x14ac:dyDescent="0.4">
      <c r="A638" s="1" t="s">
        <v>589</v>
      </c>
      <c r="B638" s="1" t="str">
        <f>"東広島市高屋町杵原1347-9"</f>
        <v>東広島市高屋町杵原1347-9</v>
      </c>
      <c r="C638" s="2">
        <v>46387</v>
      </c>
    </row>
    <row r="639" spans="1:3" x14ac:dyDescent="0.4">
      <c r="A639" s="1" t="s">
        <v>760</v>
      </c>
      <c r="B639" s="1" t="str">
        <f>"東広島市高屋町杵原1826-1"</f>
        <v>東広島市高屋町杵原1826-1</v>
      </c>
      <c r="C639" s="2">
        <v>46022</v>
      </c>
    </row>
    <row r="640" spans="1:3" x14ac:dyDescent="0.4">
      <c r="A640" s="1" t="s">
        <v>584</v>
      </c>
      <c r="B640" s="1" t="str">
        <f>"東広島市高屋町杵原957-5"</f>
        <v>東広島市高屋町杵原957-5</v>
      </c>
      <c r="C640" s="2">
        <v>46387</v>
      </c>
    </row>
    <row r="641" spans="1:3" x14ac:dyDescent="0.4">
      <c r="A641" s="1" t="s">
        <v>6</v>
      </c>
      <c r="B641" s="1" t="str">
        <f>"東広島市高屋町宮領184-6"</f>
        <v>東広島市高屋町宮領184-6</v>
      </c>
      <c r="C641" s="2">
        <v>47118</v>
      </c>
    </row>
    <row r="642" spans="1:3" x14ac:dyDescent="0.4">
      <c r="A642" s="1" t="s">
        <v>293</v>
      </c>
      <c r="B642" s="1" t="str">
        <f>"東広島市高屋町小谷3257-4"</f>
        <v>東広島市高屋町小谷3257-4</v>
      </c>
      <c r="C642" s="2">
        <v>46387</v>
      </c>
    </row>
    <row r="643" spans="1:3" x14ac:dyDescent="0.4">
      <c r="A643" s="1" t="s">
        <v>724</v>
      </c>
      <c r="B643" s="1" t="str">
        <f>"東広島市高屋町造賀2956-2"</f>
        <v>東広島市高屋町造賀2956-2</v>
      </c>
      <c r="C643" s="2">
        <v>46387</v>
      </c>
    </row>
    <row r="644" spans="1:3" x14ac:dyDescent="0.4">
      <c r="A644" s="1" t="s">
        <v>729</v>
      </c>
      <c r="B644" s="1" t="str">
        <f>"東広島市高屋町造賀736-4"</f>
        <v>東広島市高屋町造賀736-4</v>
      </c>
      <c r="C644" s="2">
        <v>46387</v>
      </c>
    </row>
    <row r="645" spans="1:3" x14ac:dyDescent="0.4">
      <c r="A645" s="1" t="s">
        <v>742</v>
      </c>
      <c r="B645" s="1" t="str">
        <f>"東広島市高屋町大畠499-66"</f>
        <v>東広島市高屋町大畠499-66</v>
      </c>
      <c r="C645" s="2">
        <v>46387</v>
      </c>
    </row>
    <row r="646" spans="1:3" x14ac:dyDescent="0.4">
      <c r="A646" s="1" t="s">
        <v>734</v>
      </c>
      <c r="B646" s="1" t="str">
        <f>"東広島市高屋町中島31-1"</f>
        <v>東広島市高屋町中島31-1</v>
      </c>
      <c r="C646" s="2">
        <v>46387</v>
      </c>
    </row>
    <row r="647" spans="1:3" x14ac:dyDescent="0.4">
      <c r="A647" s="1" t="s">
        <v>266</v>
      </c>
      <c r="B647" s="1" t="str">
        <f>"東広島市高屋町檜山449-6"</f>
        <v>東広島市高屋町檜山449-6</v>
      </c>
      <c r="C647" s="2">
        <v>46752</v>
      </c>
    </row>
    <row r="648" spans="1:3" x14ac:dyDescent="0.4">
      <c r="A648" s="1" t="s">
        <v>851</v>
      </c>
      <c r="B648" s="1" t="str">
        <f>"東広島市黒瀬町丸山1362-5"</f>
        <v>東広島市黒瀬町丸山1362-5</v>
      </c>
      <c r="C648" s="2">
        <v>46387</v>
      </c>
    </row>
    <row r="649" spans="1:3" x14ac:dyDescent="0.4">
      <c r="A649" s="1" t="s">
        <v>761</v>
      </c>
      <c r="B649" s="1" t="str">
        <f>"東広島市黒瀬町兼広139-1"</f>
        <v>東広島市黒瀬町兼広139-1</v>
      </c>
      <c r="C649" s="2">
        <v>46022</v>
      </c>
    </row>
    <row r="650" spans="1:3" x14ac:dyDescent="0.4">
      <c r="A650" s="1" t="s">
        <v>152</v>
      </c>
      <c r="B650" s="1" t="str">
        <f>"東広島市黒瀬町兼沢1074-2"</f>
        <v>東広島市黒瀬町兼沢1074-2</v>
      </c>
      <c r="C650" s="2">
        <v>47483</v>
      </c>
    </row>
    <row r="651" spans="1:3" x14ac:dyDescent="0.4">
      <c r="A651" s="1" t="s">
        <v>736</v>
      </c>
      <c r="B651" s="1" t="str">
        <f>"東広島市黒瀬町国近335-9"</f>
        <v>東広島市黒瀬町国近335-9</v>
      </c>
      <c r="C651" s="2">
        <v>46387</v>
      </c>
    </row>
    <row r="652" spans="1:3" x14ac:dyDescent="0.4">
      <c r="A652" s="1" t="s">
        <v>14</v>
      </c>
      <c r="B652" s="1" t="str">
        <f>"東広島市黒瀬町楢原243-9"</f>
        <v>東広島市黒瀬町楢原243-9</v>
      </c>
      <c r="C652" s="2">
        <v>45657</v>
      </c>
    </row>
    <row r="653" spans="1:3" x14ac:dyDescent="0.4">
      <c r="A653" s="1" t="s">
        <v>536</v>
      </c>
      <c r="B653" s="1" t="str">
        <f>"東広島市黒瀬町楢原646-4"</f>
        <v>東広島市黒瀬町楢原646-4</v>
      </c>
      <c r="C653" s="2">
        <v>46022</v>
      </c>
    </row>
    <row r="654" spans="1:3" x14ac:dyDescent="0.4">
      <c r="A654" s="1" t="s">
        <v>733</v>
      </c>
      <c r="B654" s="1" t="str">
        <f>"東広島市黒瀬町南方797-1"</f>
        <v>東広島市黒瀬町南方797-1</v>
      </c>
      <c r="C654" s="2">
        <v>46387</v>
      </c>
    </row>
    <row r="655" spans="1:3" x14ac:dyDescent="0.4">
      <c r="A655" s="1" t="s">
        <v>735</v>
      </c>
      <c r="B655" s="1" t="str">
        <f>"東広島市黒瀬町南方804-1"</f>
        <v>東広島市黒瀬町南方804-1</v>
      </c>
      <c r="C655" s="2">
        <v>46387</v>
      </c>
    </row>
    <row r="656" spans="1:3" x14ac:dyDescent="0.4">
      <c r="A656" s="1" t="s">
        <v>722</v>
      </c>
      <c r="B656" s="1" t="str">
        <f>"東広島市志和町志和東1195-1"</f>
        <v>東広島市志和町志和東1195-1</v>
      </c>
      <c r="C656" s="2">
        <v>46387</v>
      </c>
    </row>
    <row r="657" spans="1:3" x14ac:dyDescent="0.4">
      <c r="A657" s="1" t="s">
        <v>378</v>
      </c>
      <c r="B657" s="1" t="str">
        <f>"東広島市志和町別府1340-2"</f>
        <v>東広島市志和町別府1340-2</v>
      </c>
      <c r="C657" s="2">
        <v>46387</v>
      </c>
    </row>
    <row r="658" spans="1:3" x14ac:dyDescent="0.4">
      <c r="A658" s="1" t="s">
        <v>326</v>
      </c>
      <c r="B658" s="1" t="str">
        <f>"東広島市西条栄町10-30"</f>
        <v>東広島市西条栄町10-30</v>
      </c>
      <c r="C658" s="2">
        <v>46752</v>
      </c>
    </row>
    <row r="659" spans="1:3" x14ac:dyDescent="0.4">
      <c r="A659" s="1" t="s">
        <v>77</v>
      </c>
      <c r="B659" s="1" t="str">
        <f>"東広島市西条栄町2-23-Ｂ"</f>
        <v>東広島市西条栄町2-23-Ｂ</v>
      </c>
      <c r="C659" s="2">
        <v>46022</v>
      </c>
    </row>
    <row r="660" spans="1:3" x14ac:dyDescent="0.4">
      <c r="A660" s="1" t="s">
        <v>743</v>
      </c>
      <c r="B660" s="1" t="str">
        <f>"東広島市西条岡町3-14"</f>
        <v>東広島市西条岡町3-14</v>
      </c>
      <c r="C660" s="2">
        <v>46387</v>
      </c>
    </row>
    <row r="661" spans="1:3" x14ac:dyDescent="0.4">
      <c r="A661" s="1" t="s">
        <v>738</v>
      </c>
      <c r="B661" s="1" t="str">
        <f>"東広島市西条岡町5-19"</f>
        <v>東広島市西条岡町5-19</v>
      </c>
      <c r="C661" s="2">
        <v>46387</v>
      </c>
    </row>
    <row r="662" spans="1:3" x14ac:dyDescent="0.4">
      <c r="A662" s="1" t="s">
        <v>258</v>
      </c>
      <c r="B662" s="1" t="str">
        <f>"東広島市西条御条町2-10"</f>
        <v>東広島市西条御条町2-10</v>
      </c>
      <c r="C662" s="2">
        <v>46387</v>
      </c>
    </row>
    <row r="663" spans="1:3" x14ac:dyDescent="0.4">
      <c r="A663" s="1" t="s">
        <v>768</v>
      </c>
      <c r="B663" s="1" t="str">
        <f>"東広島市西条御条町5-20"</f>
        <v>東広島市西条御条町5-20</v>
      </c>
      <c r="C663" s="2">
        <v>47483</v>
      </c>
    </row>
    <row r="664" spans="1:3" x14ac:dyDescent="0.4">
      <c r="A664" s="1" t="s">
        <v>716</v>
      </c>
      <c r="B664" s="1" t="str">
        <f>"東広島市西条昭和町12-43"</f>
        <v>東広島市西条昭和町12-43</v>
      </c>
      <c r="C664" s="2">
        <v>46022</v>
      </c>
    </row>
    <row r="665" spans="1:3" x14ac:dyDescent="0.4">
      <c r="A665" s="1" t="s">
        <v>611</v>
      </c>
      <c r="B665" s="1" t="str">
        <f>"東広島市西条昭和町17-23"</f>
        <v>東広島市西条昭和町17-23</v>
      </c>
      <c r="C665" s="2">
        <v>46387</v>
      </c>
    </row>
    <row r="666" spans="1:3" x14ac:dyDescent="0.4">
      <c r="A666" s="1" t="s">
        <v>746</v>
      </c>
      <c r="B666" s="1" t="str">
        <f>"東広島市西条昭和町6-10"</f>
        <v>東広島市西条昭和町6-10</v>
      </c>
      <c r="C666" s="2">
        <v>46387</v>
      </c>
    </row>
    <row r="667" spans="1:3" x14ac:dyDescent="0.4">
      <c r="A667" s="1" t="s">
        <v>721</v>
      </c>
      <c r="B667" s="1" t="str">
        <f>"東広島市西条昭和町7-19"</f>
        <v>東広島市西条昭和町7-19</v>
      </c>
      <c r="C667" s="2">
        <v>46387</v>
      </c>
    </row>
    <row r="668" spans="1:3" x14ac:dyDescent="0.4">
      <c r="A668" s="1" t="s">
        <v>74</v>
      </c>
      <c r="B668" s="1" t="str">
        <f>"東広島市西条上市町5-5-3F-B"</f>
        <v>東広島市西条上市町5-5-3F-B</v>
      </c>
      <c r="C668" s="2">
        <v>46387</v>
      </c>
    </row>
    <row r="669" spans="1:3" x14ac:dyDescent="0.4">
      <c r="A669" s="1" t="s">
        <v>459</v>
      </c>
      <c r="B669" s="1" t="str">
        <f>"東広島市西条西本町25-29"</f>
        <v>東広島市西条西本町25-29</v>
      </c>
      <c r="C669" s="2">
        <v>46387</v>
      </c>
    </row>
    <row r="670" spans="1:3" x14ac:dyDescent="0.4">
      <c r="A670" s="1" t="s">
        <v>758</v>
      </c>
      <c r="B670" s="1" t="str">
        <f>"東広島市西条西本町27-33"</f>
        <v>東広島市西条西本町27-33</v>
      </c>
      <c r="C670" s="2">
        <v>46022</v>
      </c>
    </row>
    <row r="671" spans="1:3" x14ac:dyDescent="0.4">
      <c r="A671" s="1" t="s">
        <v>754</v>
      </c>
      <c r="B671" s="1" t="str">
        <f>"東広島市西条西本町28-30"</f>
        <v>東広島市西条西本町28-30</v>
      </c>
      <c r="C671" s="2">
        <v>46387</v>
      </c>
    </row>
    <row r="672" spans="1:3" x14ac:dyDescent="0.4">
      <c r="A672" s="1" t="s">
        <v>80</v>
      </c>
      <c r="B672" s="1" t="str">
        <f>"東広島市西条中央3-10-9"</f>
        <v>東広島市西条中央3-10-9</v>
      </c>
      <c r="C672" s="2">
        <v>46387</v>
      </c>
    </row>
    <row r="673" spans="1:3" x14ac:dyDescent="0.4">
      <c r="A673" s="1" t="s">
        <v>723</v>
      </c>
      <c r="B673" s="1" t="str">
        <f>"東広島市西条中央3-5-5"</f>
        <v>東広島市西条中央3-5-5</v>
      </c>
      <c r="C673" s="2">
        <v>46387</v>
      </c>
    </row>
    <row r="674" spans="1:3" x14ac:dyDescent="0.4">
      <c r="A674" s="1" t="s">
        <v>168</v>
      </c>
      <c r="B674" s="1" t="str">
        <f>"東広島市西条中央7-3-45"</f>
        <v>東広島市西条中央7-3-45</v>
      </c>
      <c r="C674" s="2">
        <v>46387</v>
      </c>
    </row>
    <row r="675" spans="1:3" x14ac:dyDescent="0.4">
      <c r="A675" s="1" t="s">
        <v>740</v>
      </c>
      <c r="B675" s="1" t="str">
        <f>"東広島市西条町下見4482-1"</f>
        <v>東広島市西条町下見4482-1</v>
      </c>
      <c r="C675" s="2">
        <v>46387</v>
      </c>
    </row>
    <row r="676" spans="1:3" x14ac:dyDescent="0.4">
      <c r="A676" s="1" t="s">
        <v>767</v>
      </c>
      <c r="B676" s="1" t="str">
        <f>"東広島市西条町吉行2219-1"</f>
        <v>東広島市西条町吉行2219-1</v>
      </c>
      <c r="C676" s="2">
        <v>47118</v>
      </c>
    </row>
    <row r="677" spans="1:3" x14ac:dyDescent="0.4">
      <c r="A677" s="1" t="s">
        <v>348</v>
      </c>
      <c r="B677" s="1" t="str">
        <f>"東広島市西条町御薗宇2420-2"</f>
        <v>東広島市西条町御薗宇2420-2</v>
      </c>
      <c r="C677" s="2">
        <v>46387</v>
      </c>
    </row>
    <row r="678" spans="1:3" x14ac:dyDescent="0.4">
      <c r="A678" s="1" t="s">
        <v>759</v>
      </c>
      <c r="B678" s="1" t="str">
        <f>"東広島市西条町御薗宇4284-1"</f>
        <v>東広島市西条町御薗宇4284-1</v>
      </c>
      <c r="C678" s="2">
        <v>46022</v>
      </c>
    </row>
    <row r="679" spans="1:3" x14ac:dyDescent="0.4">
      <c r="A679" s="1" t="s">
        <v>747</v>
      </c>
      <c r="B679" s="1" t="str">
        <f>"東広島市西条町御薗宇6035-1F"</f>
        <v>東広島市西条町御薗宇6035-1F</v>
      </c>
      <c r="C679" s="2">
        <v>46387</v>
      </c>
    </row>
    <row r="680" spans="1:3" x14ac:dyDescent="0.4">
      <c r="A680" s="1" t="s">
        <v>338</v>
      </c>
      <c r="B680" s="1" t="str">
        <f>"東広島市西条町御薗宇714-52"</f>
        <v>東広島市西条町御薗宇714-52</v>
      </c>
      <c r="C680" s="2">
        <v>46387</v>
      </c>
    </row>
    <row r="681" spans="1:3" x14ac:dyDescent="0.4">
      <c r="A681" s="1" t="s">
        <v>624</v>
      </c>
      <c r="B681" s="1" t="str">
        <f>"東広島市西条町御薗宇8539-7"</f>
        <v>東広島市西条町御薗宇8539-7</v>
      </c>
      <c r="C681" s="2">
        <v>46022</v>
      </c>
    </row>
    <row r="682" spans="1:3" x14ac:dyDescent="0.4">
      <c r="A682" s="1" t="s">
        <v>750</v>
      </c>
      <c r="B682" s="1" t="str">
        <f>"東広島市西条町寺家1319-2"</f>
        <v>東広島市西条町寺家1319-2</v>
      </c>
      <c r="C682" s="2">
        <v>46387</v>
      </c>
    </row>
    <row r="683" spans="1:3" x14ac:dyDescent="0.4">
      <c r="A683" s="1" t="s">
        <v>757</v>
      </c>
      <c r="B683" s="1" t="str">
        <f>"東広島市西条町寺家3791-1"</f>
        <v>東広島市西条町寺家3791-1</v>
      </c>
      <c r="C683" s="2">
        <v>45657</v>
      </c>
    </row>
    <row r="684" spans="1:3" x14ac:dyDescent="0.4">
      <c r="A684" s="1" t="s">
        <v>755</v>
      </c>
      <c r="B684" s="1" t="str">
        <f>"東広島市西条町寺家4732-1"</f>
        <v>東広島市西条町寺家4732-1</v>
      </c>
      <c r="C684" s="2">
        <v>46022</v>
      </c>
    </row>
    <row r="685" spans="1:3" x14ac:dyDescent="0.4">
      <c r="A685" s="1" t="s">
        <v>342</v>
      </c>
      <c r="B685" s="1" t="str">
        <f>"東広島市西条町寺家5022-1"</f>
        <v>東広島市西条町寺家5022-1</v>
      </c>
      <c r="C685" s="2">
        <v>45657</v>
      </c>
    </row>
    <row r="686" spans="1:3" x14ac:dyDescent="0.4">
      <c r="A686" s="1" t="s">
        <v>727</v>
      </c>
      <c r="B686" s="1" t="str">
        <f>"東広島市西条町寺家513-19"</f>
        <v>東広島市西条町寺家513-19</v>
      </c>
      <c r="C686" s="2">
        <v>46387</v>
      </c>
    </row>
    <row r="687" spans="1:3" x14ac:dyDescent="0.4">
      <c r="A687" s="1" t="s">
        <v>725</v>
      </c>
      <c r="B687" s="1" t="str">
        <f>"東広島市西条町寺家513-20"</f>
        <v>東広島市西条町寺家513-20</v>
      </c>
      <c r="C687" s="2">
        <v>46387</v>
      </c>
    </row>
    <row r="688" spans="1:3" x14ac:dyDescent="0.4">
      <c r="A688" s="1" t="s">
        <v>244</v>
      </c>
      <c r="B688" s="1" t="str">
        <f>"東広島市西条町寺家513-35"</f>
        <v>東広島市西条町寺家513-35</v>
      </c>
      <c r="C688" s="2">
        <v>46387</v>
      </c>
    </row>
    <row r="689" spans="1:3" x14ac:dyDescent="0.4">
      <c r="A689" s="1" t="s">
        <v>753</v>
      </c>
      <c r="B689" s="1" t="str">
        <f>"東広島市西条町寺家520-67"</f>
        <v>東広島市西条町寺家520-67</v>
      </c>
      <c r="C689" s="2">
        <v>46387</v>
      </c>
    </row>
    <row r="690" spans="1:3" x14ac:dyDescent="0.4">
      <c r="A690" s="1" t="s">
        <v>745</v>
      </c>
      <c r="B690" s="1" t="str">
        <f>"東広島市西条町寺家6623-4"</f>
        <v>東広島市西条町寺家6623-4</v>
      </c>
      <c r="C690" s="2">
        <v>46387</v>
      </c>
    </row>
    <row r="691" spans="1:3" x14ac:dyDescent="0.4">
      <c r="A691" s="1" t="s">
        <v>155</v>
      </c>
      <c r="B691" s="1" t="s">
        <v>249</v>
      </c>
      <c r="C691" s="2">
        <v>46387</v>
      </c>
    </row>
    <row r="692" spans="1:3" x14ac:dyDescent="0.4">
      <c r="A692" s="1" t="s">
        <v>419</v>
      </c>
      <c r="B692" s="1" t="str">
        <f>"東広島市西条町寺家7430-1"</f>
        <v>東広島市西条町寺家7430-1</v>
      </c>
      <c r="C692" s="2">
        <v>46387</v>
      </c>
    </row>
    <row r="693" spans="1:3" x14ac:dyDescent="0.4">
      <c r="A693" s="1" t="s">
        <v>143</v>
      </c>
      <c r="B693" s="1" t="str">
        <f>"東広島市西条町寺家駅前14-17"</f>
        <v>東広島市西条町寺家駅前14-17</v>
      </c>
      <c r="C693" s="2">
        <v>46022</v>
      </c>
    </row>
    <row r="694" spans="1:3" x14ac:dyDescent="0.4">
      <c r="A694" s="1" t="s">
        <v>732</v>
      </c>
      <c r="B694" s="1" t="str">
        <f>"東広島市西条町寺家横田5410-12"</f>
        <v>東広島市西条町寺家横田5410-12</v>
      </c>
      <c r="C694" s="2">
        <v>46387</v>
      </c>
    </row>
    <row r="695" spans="1:3" x14ac:dyDescent="0.4">
      <c r="A695" s="1" t="s">
        <v>438</v>
      </c>
      <c r="B695" s="1" t="str">
        <f>"東広島市西条町寺家字横田5284-1"</f>
        <v>東広島市西条町寺家字横田5284-1</v>
      </c>
      <c r="C695" s="2">
        <v>47483</v>
      </c>
    </row>
    <row r="696" spans="1:3" x14ac:dyDescent="0.4">
      <c r="A696" s="1" t="s">
        <v>277</v>
      </c>
      <c r="B696" s="1" t="s">
        <v>763</v>
      </c>
      <c r="C696" s="2">
        <v>46752</v>
      </c>
    </row>
    <row r="697" spans="1:3" x14ac:dyDescent="0.4">
      <c r="A697" s="1" t="s">
        <v>45</v>
      </c>
      <c r="B697" s="1" t="str">
        <f>"東広島市西条町助実1182-4"</f>
        <v>東広島市西条町助実1182-4</v>
      </c>
      <c r="C697" s="2">
        <v>46387</v>
      </c>
    </row>
    <row r="698" spans="1:3" x14ac:dyDescent="0.4">
      <c r="A698" s="1" t="s">
        <v>455</v>
      </c>
      <c r="B698" s="1" t="str">
        <f>"東広島市西条町助実1852-1"</f>
        <v>東広島市西条町助実1852-1</v>
      </c>
      <c r="C698" s="2">
        <v>46387</v>
      </c>
    </row>
    <row r="699" spans="1:3" x14ac:dyDescent="0.4">
      <c r="A699" s="1" t="s">
        <v>559</v>
      </c>
      <c r="B699" s="1" t="str">
        <f>"東広島市西条町西条東1053-1"</f>
        <v>東広島市西条町西条東1053-1</v>
      </c>
      <c r="C699" s="2">
        <v>46387</v>
      </c>
    </row>
    <row r="700" spans="1:3" x14ac:dyDescent="0.4">
      <c r="A700" s="1" t="s">
        <v>683</v>
      </c>
      <c r="B700" s="1" t="str">
        <f>"東広島市西条町西条東1245-1"</f>
        <v>東広島市西条町西条東1245-1</v>
      </c>
      <c r="C700" s="2">
        <v>46387</v>
      </c>
    </row>
    <row r="701" spans="1:3" x14ac:dyDescent="0.4">
      <c r="A701" s="1" t="s">
        <v>766</v>
      </c>
      <c r="B701" s="1" t="str">
        <f>"東広島市西条町西条東800-1"</f>
        <v>東広島市西条町西条東800-1</v>
      </c>
      <c r="C701" s="2">
        <v>47118</v>
      </c>
    </row>
    <row r="702" spans="1:3" x14ac:dyDescent="0.4">
      <c r="A702" s="1" t="s">
        <v>715</v>
      </c>
      <c r="B702" s="1" t="str">
        <f>"東広島市西条町西条東山崎1281-3"</f>
        <v>東広島市西条町西条東山崎1281-3</v>
      </c>
      <c r="C702" s="2">
        <v>47118</v>
      </c>
    </row>
    <row r="703" spans="1:3" x14ac:dyDescent="0.4">
      <c r="A703" s="1" t="s">
        <v>726</v>
      </c>
      <c r="B703" s="1" t="str">
        <f>"東広島市西条町大沢100-8"</f>
        <v>東広島市西条町大沢100-8</v>
      </c>
      <c r="C703" s="2">
        <v>46387</v>
      </c>
    </row>
    <row r="704" spans="1:3" x14ac:dyDescent="0.4">
      <c r="A704" s="1" t="s">
        <v>322</v>
      </c>
      <c r="B704" s="1" t="str">
        <f>"東広島市西条町田口2721-2"</f>
        <v>東広島市西条町田口2721-2</v>
      </c>
      <c r="C704" s="2">
        <v>46022</v>
      </c>
    </row>
    <row r="705" spans="1:3" x14ac:dyDescent="0.4">
      <c r="A705" s="1" t="s">
        <v>730</v>
      </c>
      <c r="B705" s="1" t="str">
        <f>"東広島市西条町田口383-7"</f>
        <v>東広島市西条町田口383-7</v>
      </c>
      <c r="C705" s="2">
        <v>46387</v>
      </c>
    </row>
    <row r="706" spans="1:3" x14ac:dyDescent="0.4">
      <c r="A706" s="1" t="s">
        <v>550</v>
      </c>
      <c r="B706" s="1" t="str">
        <f>"東広島市西条町馬木1576-2"</f>
        <v>東広島市西条町馬木1576-2</v>
      </c>
      <c r="C706" s="2">
        <v>47483</v>
      </c>
    </row>
    <row r="707" spans="1:3" x14ac:dyDescent="0.4">
      <c r="A707" s="1" t="s">
        <v>335</v>
      </c>
      <c r="B707" s="1" t="str">
        <f>"東広島市西条土与丸1-3-38"</f>
        <v>東広島市西条土与丸1-3-38</v>
      </c>
      <c r="C707" s="2">
        <v>46387</v>
      </c>
    </row>
    <row r="708" spans="1:3" x14ac:dyDescent="0.4">
      <c r="A708" s="1" t="s">
        <v>492</v>
      </c>
      <c r="B708" s="1" t="str">
        <f>"東広島市西条土与丸5-9-7"</f>
        <v>東広島市西条土与丸5-9-7</v>
      </c>
      <c r="C708" s="2">
        <v>46387</v>
      </c>
    </row>
    <row r="709" spans="1:3" x14ac:dyDescent="0.4">
      <c r="A709" s="1" t="s">
        <v>17</v>
      </c>
      <c r="B709" s="1" t="str">
        <f>"東広島市西条土与丸6-1-3"</f>
        <v>東広島市西条土与丸6-1-3</v>
      </c>
      <c r="C709" s="2">
        <v>46387</v>
      </c>
    </row>
    <row r="710" spans="1:3" x14ac:dyDescent="0.4">
      <c r="A710" s="1" t="s">
        <v>25</v>
      </c>
      <c r="B710" s="1" t="str">
        <f>"東広島市西条本町12-3"</f>
        <v>東広島市西条本町12-3</v>
      </c>
      <c r="C710" s="2">
        <v>46387</v>
      </c>
    </row>
    <row r="711" spans="1:3" x14ac:dyDescent="0.4">
      <c r="A711" s="1" t="s">
        <v>749</v>
      </c>
      <c r="B711" s="1" t="str">
        <f>"東広島市八本松町原6774-1"</f>
        <v>東広島市八本松町原6774-1</v>
      </c>
      <c r="C711" s="2">
        <v>46387</v>
      </c>
    </row>
    <row r="712" spans="1:3" x14ac:dyDescent="0.4">
      <c r="A712" s="1" t="s">
        <v>731</v>
      </c>
      <c r="B712" s="1" t="str">
        <f>"東広島市八本松町飯田149-3"</f>
        <v>東広島市八本松町飯田149-3</v>
      </c>
      <c r="C712" s="2">
        <v>46387</v>
      </c>
    </row>
    <row r="713" spans="1:3" x14ac:dyDescent="0.4">
      <c r="A713" s="1" t="s">
        <v>739</v>
      </c>
      <c r="B713" s="1" t="str">
        <f>"東広島市八本松東3-33-2"</f>
        <v>東広島市八本松東3-33-2</v>
      </c>
      <c r="C713" s="2">
        <v>46387</v>
      </c>
    </row>
    <row r="714" spans="1:3" x14ac:dyDescent="0.4">
      <c r="A714" s="1" t="s">
        <v>764</v>
      </c>
      <c r="B714" s="1" t="str">
        <f>"東広島市八本松東3-7-2-101"</f>
        <v>東広島市八本松東3-7-2-101</v>
      </c>
      <c r="C714" s="2">
        <v>47118</v>
      </c>
    </row>
    <row r="715" spans="1:3" x14ac:dyDescent="0.4">
      <c r="A715" s="1" t="s">
        <v>752</v>
      </c>
      <c r="B715" s="1" t="str">
        <f>"東広島市八本松南2-4-14"</f>
        <v>東広島市八本松南2-4-14</v>
      </c>
      <c r="C715" s="2">
        <v>46387</v>
      </c>
    </row>
    <row r="716" spans="1:3" x14ac:dyDescent="0.4">
      <c r="A716" s="1" t="s">
        <v>140</v>
      </c>
      <c r="B716" s="1" t="str">
        <f>"東広島市八本松南5-95-20"</f>
        <v>東広島市八本松南5-95-20</v>
      </c>
      <c r="C716" s="2">
        <v>46387</v>
      </c>
    </row>
    <row r="717" spans="1:3" x14ac:dyDescent="0.4">
      <c r="A717" s="1" t="s">
        <v>765</v>
      </c>
      <c r="B717" s="1" t="str">
        <f>"東広島市八本松飯田6-14-17"</f>
        <v>東広島市八本松飯田6-14-17</v>
      </c>
      <c r="C717" s="2">
        <v>47118</v>
      </c>
    </row>
    <row r="718" spans="1:3" x14ac:dyDescent="0.4">
      <c r="A718" s="1" t="s">
        <v>728</v>
      </c>
      <c r="B718" s="1" t="str">
        <f>"東広島市八本松飯田6-15-29"</f>
        <v>東広島市八本松飯田6-15-29</v>
      </c>
      <c r="C718" s="2">
        <v>46387</v>
      </c>
    </row>
    <row r="719" spans="1:3" x14ac:dyDescent="0.4">
      <c r="A719" s="1" t="s">
        <v>748</v>
      </c>
      <c r="B719" s="1" t="str">
        <f>"東広島市福富町久芳1539-27"</f>
        <v>東広島市福富町久芳1539-27</v>
      </c>
      <c r="C719" s="2">
        <v>46387</v>
      </c>
    </row>
    <row r="720" spans="1:3" x14ac:dyDescent="0.4">
      <c r="A720" s="1" t="s">
        <v>215</v>
      </c>
      <c r="B720" s="1" t="str">
        <f>"東広島市福富町久芳3798-2"</f>
        <v>東広島市福富町久芳3798-2</v>
      </c>
      <c r="C720" s="2">
        <v>46022</v>
      </c>
    </row>
    <row r="721" spans="1:3" x14ac:dyDescent="0.4">
      <c r="A721" s="1" t="s">
        <v>161</v>
      </c>
      <c r="B721" s="1" t="s">
        <v>259</v>
      </c>
      <c r="C721" s="2">
        <v>46022</v>
      </c>
    </row>
    <row r="722" spans="1:3" x14ac:dyDescent="0.4">
      <c r="A722" s="1" t="s">
        <v>777</v>
      </c>
      <c r="B722" s="1" t="str">
        <f>"廿日市市阿品3-1-6"</f>
        <v>廿日市市阿品3-1-6</v>
      </c>
      <c r="C722" s="2">
        <v>46387</v>
      </c>
    </row>
    <row r="723" spans="1:3" x14ac:dyDescent="0.4">
      <c r="A723" s="1" t="s">
        <v>774</v>
      </c>
      <c r="B723" s="1" t="str">
        <f>"廿日市市阿品3-5-20"</f>
        <v>廿日市市阿品3-5-20</v>
      </c>
      <c r="C723" s="2">
        <v>46387</v>
      </c>
    </row>
    <row r="724" spans="1:3" x14ac:dyDescent="0.4">
      <c r="A724" s="1" t="s">
        <v>69</v>
      </c>
      <c r="B724" s="1" t="str">
        <f>"廿日市市阿品台4-17-27"</f>
        <v>廿日市市阿品台4-17-27</v>
      </c>
      <c r="C724" s="2">
        <v>46387</v>
      </c>
    </row>
    <row r="725" spans="1:3" x14ac:dyDescent="0.4">
      <c r="A725" s="1" t="s">
        <v>197</v>
      </c>
      <c r="B725" s="1" t="str">
        <f>"廿日市市阿品台4-4-11"</f>
        <v>廿日市市阿品台4-4-11</v>
      </c>
      <c r="C725" s="2">
        <v>46387</v>
      </c>
    </row>
    <row r="726" spans="1:3" x14ac:dyDescent="0.4">
      <c r="A726" s="1" t="s">
        <v>831</v>
      </c>
      <c r="B726" s="1" t="str">
        <f>"廿日市市永原1234-8"</f>
        <v>廿日市市永原1234-8</v>
      </c>
      <c r="C726" s="2">
        <v>46387</v>
      </c>
    </row>
    <row r="727" spans="1:3" x14ac:dyDescent="0.4">
      <c r="A727" s="1" t="s">
        <v>42</v>
      </c>
      <c r="B727" s="1" t="str">
        <f>"廿日市市駅前5-2"</f>
        <v>廿日市市駅前5-2</v>
      </c>
      <c r="C727" s="2">
        <v>46387</v>
      </c>
    </row>
    <row r="728" spans="1:3" x14ac:dyDescent="0.4">
      <c r="A728" s="1" t="s">
        <v>833</v>
      </c>
      <c r="B728" s="1" t="str">
        <f>"廿日市市塩屋1-1-67"</f>
        <v>廿日市市塩屋1-1-67</v>
      </c>
      <c r="C728" s="2">
        <v>46387</v>
      </c>
    </row>
    <row r="729" spans="1:3" x14ac:dyDescent="0.4">
      <c r="A729" s="1" t="s">
        <v>787</v>
      </c>
      <c r="B729" s="1" t="str">
        <f>"廿日市市下平良1-3-36"</f>
        <v>廿日市市下平良1-3-36</v>
      </c>
      <c r="C729" s="2">
        <v>46022</v>
      </c>
    </row>
    <row r="730" spans="1:3" x14ac:dyDescent="0.4">
      <c r="A730" s="1" t="s">
        <v>779</v>
      </c>
      <c r="B730" s="1" t="str">
        <f>"廿日市市丸石2-1-74"</f>
        <v>廿日市市丸石2-1-74</v>
      </c>
      <c r="C730" s="2">
        <v>46387</v>
      </c>
    </row>
    <row r="731" spans="1:3" x14ac:dyDescent="0.4">
      <c r="A731" s="1" t="s">
        <v>380</v>
      </c>
      <c r="B731" s="1" t="str">
        <f>"廿日市市宮園3-1-3"</f>
        <v>廿日市市宮園3-1-3</v>
      </c>
      <c r="C731" s="2">
        <v>46387</v>
      </c>
    </row>
    <row r="732" spans="1:3" x14ac:dyDescent="0.4">
      <c r="A732" s="1" t="s">
        <v>282</v>
      </c>
      <c r="B732" s="1" t="str">
        <f>"廿日市市宮園3-7-4"</f>
        <v>廿日市市宮園3-7-4</v>
      </c>
      <c r="C732" s="2">
        <v>47118</v>
      </c>
    </row>
    <row r="733" spans="1:3" x14ac:dyDescent="0.4">
      <c r="A733" s="1" t="s">
        <v>405</v>
      </c>
      <c r="B733" s="1" t="str">
        <f>"廿日市市宮島口1-4-13"</f>
        <v>廿日市市宮島口1-4-13</v>
      </c>
      <c r="C733" s="2">
        <v>46022</v>
      </c>
    </row>
    <row r="734" spans="1:3" x14ac:dyDescent="0.4">
      <c r="A734" s="1" t="s">
        <v>835</v>
      </c>
      <c r="B734" s="1" t="str">
        <f>"廿日市市宮島口1-7-7"</f>
        <v>廿日市市宮島口1-7-7</v>
      </c>
      <c r="C734" s="2">
        <v>46387</v>
      </c>
    </row>
    <row r="735" spans="1:3" x14ac:dyDescent="0.4">
      <c r="A735" s="1" t="s">
        <v>72</v>
      </c>
      <c r="B735" s="1" t="str">
        <f>"廿日市市宮島町1128-2"</f>
        <v>廿日市市宮島町1128-2</v>
      </c>
      <c r="C735" s="2">
        <v>46387</v>
      </c>
    </row>
    <row r="736" spans="1:3" x14ac:dyDescent="0.4">
      <c r="A736" s="1" t="s">
        <v>784</v>
      </c>
      <c r="B736" s="1" t="str">
        <f>"廿日市市宮島町甲590-2"</f>
        <v>廿日市市宮島町甲590-2</v>
      </c>
      <c r="C736" s="2">
        <v>47483</v>
      </c>
    </row>
    <row r="737" spans="1:3" x14ac:dyDescent="0.4">
      <c r="A737" s="1" t="s">
        <v>771</v>
      </c>
      <c r="B737" s="1" t="str">
        <f>"廿日市市宮内1520-8"</f>
        <v>廿日市市宮内1520-8</v>
      </c>
      <c r="C737" s="2">
        <v>46387</v>
      </c>
    </row>
    <row r="738" spans="1:3" x14ac:dyDescent="0.4">
      <c r="A738" s="1" t="s">
        <v>773</v>
      </c>
      <c r="B738" s="1" t="str">
        <f>"廿日市市宮内3-10-16"</f>
        <v>廿日市市宮内3-10-16</v>
      </c>
      <c r="C738" s="2">
        <v>46387</v>
      </c>
    </row>
    <row r="739" spans="1:3" x14ac:dyDescent="0.4">
      <c r="A739" s="1" t="s">
        <v>164</v>
      </c>
      <c r="B739" s="1" t="str">
        <f>"廿日市市宮内3-5-33"</f>
        <v>廿日市市宮内3-5-33</v>
      </c>
      <c r="C739" s="2">
        <v>46387</v>
      </c>
    </row>
    <row r="740" spans="1:3" x14ac:dyDescent="0.4">
      <c r="A740" s="1" t="s">
        <v>303</v>
      </c>
      <c r="B740" s="1" t="str">
        <f>"廿日市市宮内4243-1"</f>
        <v>廿日市市宮内4243-1</v>
      </c>
      <c r="C740" s="2">
        <v>46387</v>
      </c>
    </row>
    <row r="741" spans="1:3" x14ac:dyDescent="0.4">
      <c r="A741" s="1" t="s">
        <v>591</v>
      </c>
      <c r="B741" s="1" t="str">
        <f>"廿日市市宮内4311-1"</f>
        <v>廿日市市宮内4311-1</v>
      </c>
      <c r="C741" s="2">
        <v>46387</v>
      </c>
    </row>
    <row r="742" spans="1:3" x14ac:dyDescent="0.4">
      <c r="A742" s="1" t="s">
        <v>785</v>
      </c>
      <c r="B742" s="1" t="s">
        <v>786</v>
      </c>
      <c r="C742" s="2">
        <v>45657</v>
      </c>
    </row>
    <row r="743" spans="1:3" x14ac:dyDescent="0.4">
      <c r="A743" s="1" t="s">
        <v>776</v>
      </c>
      <c r="B743" s="1" t="str">
        <f>"廿日市市串戸1-9-41"</f>
        <v>廿日市市串戸1-9-41</v>
      </c>
      <c r="C743" s="2">
        <v>46387</v>
      </c>
    </row>
    <row r="744" spans="1:3" x14ac:dyDescent="0.4">
      <c r="A744" s="1" t="s">
        <v>193</v>
      </c>
      <c r="B744" s="1" t="str">
        <f>"廿日市市串戸2-17-5"</f>
        <v>廿日市市串戸2-17-5</v>
      </c>
      <c r="C744" s="2">
        <v>46387</v>
      </c>
    </row>
    <row r="745" spans="1:3" x14ac:dyDescent="0.4">
      <c r="A745" s="1" t="s">
        <v>165</v>
      </c>
      <c r="B745" s="1" t="str">
        <f>"廿日市市串戸3-21-2"</f>
        <v>廿日市市串戸3-21-2</v>
      </c>
      <c r="C745" s="2">
        <v>46387</v>
      </c>
    </row>
    <row r="746" spans="1:3" x14ac:dyDescent="0.4">
      <c r="A746" s="1" t="s">
        <v>769</v>
      </c>
      <c r="B746" s="1" t="str">
        <f>"廿日市市串戸4-13-1"</f>
        <v>廿日市市串戸4-13-1</v>
      </c>
      <c r="C746" s="2">
        <v>46387</v>
      </c>
    </row>
    <row r="747" spans="1:3" x14ac:dyDescent="0.4">
      <c r="A747" s="1" t="s">
        <v>788</v>
      </c>
      <c r="B747" s="1" t="str">
        <f>"廿日市市串戸4-14-14"</f>
        <v>廿日市市串戸4-14-14</v>
      </c>
      <c r="C747" s="2">
        <v>46387</v>
      </c>
    </row>
    <row r="748" spans="1:3" x14ac:dyDescent="0.4">
      <c r="A748" s="1" t="s">
        <v>783</v>
      </c>
      <c r="B748" s="1" t="str">
        <f>"廿日市市串戸4-2-16-2"</f>
        <v>廿日市市串戸4-2-16-2</v>
      </c>
      <c r="C748" s="2">
        <v>46387</v>
      </c>
    </row>
    <row r="749" spans="1:3" x14ac:dyDescent="0.4">
      <c r="A749" s="1" t="s">
        <v>657</v>
      </c>
      <c r="B749" s="1" t="str">
        <f>"廿日市市串戸5-3-50"</f>
        <v>廿日市市串戸5-3-50</v>
      </c>
      <c r="C749" s="2">
        <v>46022</v>
      </c>
    </row>
    <row r="750" spans="1:3" x14ac:dyDescent="0.4">
      <c r="A750" s="1" t="s">
        <v>781</v>
      </c>
      <c r="B750" s="1" t="str">
        <f>"廿日市市佐方4-2-20"</f>
        <v>廿日市市佐方4-2-20</v>
      </c>
      <c r="C750" s="2">
        <v>46387</v>
      </c>
    </row>
    <row r="751" spans="1:3" x14ac:dyDescent="0.4">
      <c r="A751" s="1" t="s">
        <v>244</v>
      </c>
      <c r="B751" s="1" t="str">
        <f>"廿日市市佐方4-8-32"</f>
        <v>廿日市市佐方4-8-32</v>
      </c>
      <c r="C751" s="2">
        <v>46387</v>
      </c>
    </row>
    <row r="752" spans="1:3" x14ac:dyDescent="0.4">
      <c r="A752" s="1" t="s">
        <v>711</v>
      </c>
      <c r="B752" s="1" t="str">
        <f>"廿日市市山陽園8-19"</f>
        <v>廿日市市山陽園8-19</v>
      </c>
      <c r="C752" s="2">
        <v>46387</v>
      </c>
    </row>
    <row r="753" spans="1:3" x14ac:dyDescent="0.4">
      <c r="A753" s="1" t="s">
        <v>85</v>
      </c>
      <c r="B753" s="1" t="str">
        <f>"廿日市市四季が丘5-13-6"</f>
        <v>廿日市市四季が丘5-13-6</v>
      </c>
      <c r="C753" s="2">
        <v>46022</v>
      </c>
    </row>
    <row r="754" spans="1:3" x14ac:dyDescent="0.4">
      <c r="A754" s="1" t="s">
        <v>574</v>
      </c>
      <c r="B754" s="1" t="str">
        <f>"廿日市市住吉1-3-20"</f>
        <v>廿日市市住吉1-3-20</v>
      </c>
      <c r="C754" s="2">
        <v>46387</v>
      </c>
    </row>
    <row r="755" spans="1:3" x14ac:dyDescent="0.4">
      <c r="A755" s="1" t="s">
        <v>790</v>
      </c>
      <c r="B755" s="1" t="str">
        <f>"廿日市市上平良358-1"</f>
        <v>廿日市市上平良358-1</v>
      </c>
      <c r="C755" s="2">
        <v>47118</v>
      </c>
    </row>
    <row r="756" spans="1:3" x14ac:dyDescent="0.4">
      <c r="A756" s="1" t="s">
        <v>177</v>
      </c>
      <c r="B756" s="1" t="str">
        <f>"廿日市市新宮1-13-22"</f>
        <v>廿日市市新宮1-13-22</v>
      </c>
      <c r="C756" s="2">
        <v>46387</v>
      </c>
    </row>
    <row r="757" spans="1:3" x14ac:dyDescent="0.4">
      <c r="A757" s="1" t="s">
        <v>200</v>
      </c>
      <c r="B757" s="1" t="str">
        <f>"廿日市市新宮2-1-10"</f>
        <v>廿日市市新宮2-1-10</v>
      </c>
      <c r="C757" s="2">
        <v>46387</v>
      </c>
    </row>
    <row r="758" spans="1:3" x14ac:dyDescent="0.4">
      <c r="A758" s="1" t="s">
        <v>834</v>
      </c>
      <c r="B758" s="1" t="str">
        <f>"廿日市市前空5-5-35"</f>
        <v>廿日市市前空5-5-35</v>
      </c>
      <c r="C758" s="2">
        <v>46387</v>
      </c>
    </row>
    <row r="759" spans="1:3" x14ac:dyDescent="0.4">
      <c r="A759" s="1" t="s">
        <v>103</v>
      </c>
      <c r="B759" s="1" t="str">
        <f>"廿日市市大野1-8-9"</f>
        <v>廿日市市大野1-8-9</v>
      </c>
      <c r="C759" s="2">
        <v>46752</v>
      </c>
    </row>
    <row r="760" spans="1:3" x14ac:dyDescent="0.4">
      <c r="A760" s="1" t="s">
        <v>270</v>
      </c>
      <c r="B760" s="1" t="str">
        <f>"廿日市市大野下更地1809-1"</f>
        <v>廿日市市大野下更地1809-1</v>
      </c>
      <c r="C760" s="2">
        <v>46387</v>
      </c>
    </row>
    <row r="761" spans="1:3" x14ac:dyDescent="0.4">
      <c r="A761" s="1" t="s">
        <v>346</v>
      </c>
      <c r="B761" s="1" t="str">
        <f>"廿日市市大野中央3-2-34"</f>
        <v>廿日市市大野中央3-2-34</v>
      </c>
      <c r="C761" s="2">
        <v>45657</v>
      </c>
    </row>
    <row r="762" spans="1:3" x14ac:dyDescent="0.4">
      <c r="A762" s="1" t="s">
        <v>782</v>
      </c>
      <c r="B762" s="1" t="str">
        <f>"廿日市市大野中央5-1-45"</f>
        <v>廿日市市大野中央5-1-45</v>
      </c>
      <c r="C762" s="2">
        <v>46387</v>
      </c>
    </row>
    <row r="763" spans="1:3" x14ac:dyDescent="0.4">
      <c r="A763" s="1" t="s">
        <v>40</v>
      </c>
      <c r="B763" s="1" t="str">
        <f>"廿日市市地御前1-10-34"</f>
        <v>廿日市市地御前1-10-34</v>
      </c>
      <c r="C763" s="2">
        <v>46752</v>
      </c>
    </row>
    <row r="764" spans="1:3" x14ac:dyDescent="0.4">
      <c r="A764" s="1" t="s">
        <v>136</v>
      </c>
      <c r="B764" s="1" t="str">
        <f>"廿日市市地御前1-2-22"</f>
        <v>廿日市市地御前1-2-22</v>
      </c>
      <c r="C764" s="2">
        <v>46387</v>
      </c>
    </row>
    <row r="765" spans="1:3" x14ac:dyDescent="0.4">
      <c r="A765" s="1" t="s">
        <v>631</v>
      </c>
      <c r="B765" s="1" t="str">
        <f>"廿日市市地御前1-3-28"</f>
        <v>廿日市市地御前1-3-28</v>
      </c>
      <c r="C765" s="2">
        <v>46752</v>
      </c>
    </row>
    <row r="766" spans="1:3" x14ac:dyDescent="0.4">
      <c r="A766" s="1" t="s">
        <v>770</v>
      </c>
      <c r="B766" s="1" t="str">
        <f>"廿日市市地御前2-10-22"</f>
        <v>廿日市市地御前2-10-22</v>
      </c>
      <c r="C766" s="2">
        <v>46387</v>
      </c>
    </row>
    <row r="767" spans="1:3" x14ac:dyDescent="0.4">
      <c r="A767" s="1" t="s">
        <v>775</v>
      </c>
      <c r="B767" s="1" t="str">
        <f>"廿日市市地御前3-16-23"</f>
        <v>廿日市市地御前3-16-23</v>
      </c>
      <c r="C767" s="2">
        <v>46387</v>
      </c>
    </row>
    <row r="768" spans="1:3" x14ac:dyDescent="0.4">
      <c r="A768" s="1" t="s">
        <v>185</v>
      </c>
      <c r="B768" s="1" t="str">
        <f>"廿日市市地御前3-18-11"</f>
        <v>廿日市市地御前3-18-11</v>
      </c>
      <c r="C768" s="2">
        <v>47483</v>
      </c>
    </row>
    <row r="769" spans="1:3" x14ac:dyDescent="0.4">
      <c r="A769" s="1" t="s">
        <v>827</v>
      </c>
      <c r="B769" s="1" t="s">
        <v>828</v>
      </c>
      <c r="C769" s="2">
        <v>46387</v>
      </c>
    </row>
    <row r="770" spans="1:3" x14ac:dyDescent="0.4">
      <c r="A770" s="1" t="s">
        <v>829</v>
      </c>
      <c r="B770" s="1" t="str">
        <f>"廿日市市津田4191-10"</f>
        <v>廿日市市津田4191-10</v>
      </c>
      <c r="C770" s="2">
        <v>46387</v>
      </c>
    </row>
    <row r="771" spans="1:3" x14ac:dyDescent="0.4">
      <c r="A771" s="1" t="s">
        <v>388</v>
      </c>
      <c r="B771" s="1" t="str">
        <f>"廿日市市天神12-7"</f>
        <v>廿日市市天神12-7</v>
      </c>
      <c r="C771" s="2">
        <v>46387</v>
      </c>
    </row>
    <row r="772" spans="1:3" x14ac:dyDescent="0.4">
      <c r="A772" s="1" t="s">
        <v>772</v>
      </c>
      <c r="B772" s="1" t="str">
        <f>"廿日市市廿日市2-7-27"</f>
        <v>廿日市市廿日市2-7-27</v>
      </c>
      <c r="C772" s="2">
        <v>46387</v>
      </c>
    </row>
    <row r="773" spans="1:3" x14ac:dyDescent="0.4">
      <c r="A773" s="1" t="s">
        <v>780</v>
      </c>
      <c r="B773" s="1" t="str">
        <f>"廿日市市福面2-2-3"</f>
        <v>廿日市市福面2-2-3</v>
      </c>
      <c r="C773" s="2">
        <v>46387</v>
      </c>
    </row>
    <row r="774" spans="1:3" x14ac:dyDescent="0.4">
      <c r="A774" s="1" t="s">
        <v>830</v>
      </c>
      <c r="B774" s="1" t="str">
        <f>"廿日市市福面3-1-17"</f>
        <v>廿日市市福面3-1-17</v>
      </c>
      <c r="C774" s="2">
        <v>46387</v>
      </c>
    </row>
    <row r="775" spans="1:3" x14ac:dyDescent="0.4">
      <c r="A775" s="1" t="s">
        <v>778</v>
      </c>
      <c r="B775" s="1" t="str">
        <f>"廿日市市平良2-10-36"</f>
        <v>廿日市市平良2-10-36</v>
      </c>
      <c r="C775" s="2">
        <v>46387</v>
      </c>
    </row>
    <row r="776" spans="1:3" x14ac:dyDescent="0.4">
      <c r="A776" s="1" t="s">
        <v>789</v>
      </c>
      <c r="B776" s="1" t="str">
        <f>"廿日市市本町7-36"</f>
        <v>廿日市市本町7-36</v>
      </c>
      <c r="C776" s="2">
        <v>47118</v>
      </c>
    </row>
    <row r="777" spans="1:3" x14ac:dyDescent="0.4">
      <c r="A777" s="1" t="s">
        <v>285</v>
      </c>
      <c r="B777" s="1" t="str">
        <f>"廿日市市陽光台5-12-1"</f>
        <v>廿日市市陽光台5-12-1</v>
      </c>
      <c r="C777" s="2">
        <v>46387</v>
      </c>
    </row>
    <row r="778" spans="1:3" x14ac:dyDescent="0.4">
      <c r="A778" s="1" t="s">
        <v>848</v>
      </c>
      <c r="B778" s="1" t="s">
        <v>809</v>
      </c>
      <c r="C778" s="2">
        <v>46387</v>
      </c>
    </row>
    <row r="779" spans="1:3" x14ac:dyDescent="0.4">
      <c r="A779" s="1" t="s">
        <v>167</v>
      </c>
      <c r="B779" s="1" t="str">
        <f>"安芸高田市吉田町吉田3782-1"</f>
        <v>安芸高田市吉田町吉田3782-1</v>
      </c>
      <c r="C779" s="2">
        <v>46387</v>
      </c>
    </row>
    <row r="780" spans="1:3" x14ac:dyDescent="0.4">
      <c r="A780" s="1" t="s">
        <v>700</v>
      </c>
      <c r="B780" s="1" t="str">
        <f>"安芸高田市吉田町吉田3782-2"</f>
        <v>安芸高田市吉田町吉田3782-2</v>
      </c>
      <c r="C780" s="2">
        <v>46387</v>
      </c>
    </row>
    <row r="781" spans="1:3" x14ac:dyDescent="0.4">
      <c r="A781" s="1" t="s">
        <v>21</v>
      </c>
      <c r="B781" s="1" t="str">
        <f>"安芸高田市吉田町吉田3782-8"</f>
        <v>安芸高田市吉田町吉田3782-8</v>
      </c>
      <c r="C781" s="2">
        <v>46387</v>
      </c>
    </row>
    <row r="782" spans="1:3" x14ac:dyDescent="0.4">
      <c r="A782" s="1" t="s">
        <v>178</v>
      </c>
      <c r="B782" s="1" t="str">
        <f>"安芸高田市吉田町吉田613-1"</f>
        <v>安芸高田市吉田町吉田613-1</v>
      </c>
      <c r="C782" s="2">
        <v>46387</v>
      </c>
    </row>
    <row r="783" spans="1:3" x14ac:dyDescent="0.4">
      <c r="A783" s="1" t="s">
        <v>849</v>
      </c>
      <c r="B783" s="1" t="str">
        <f>"安芸高田市吉田町吉田696-1"</f>
        <v>安芸高田市吉田町吉田696-1</v>
      </c>
      <c r="C783" s="2">
        <v>46387</v>
      </c>
    </row>
    <row r="784" spans="1:3" x14ac:dyDescent="0.4">
      <c r="A784" s="1" t="s">
        <v>850</v>
      </c>
      <c r="B784" s="1" t="str">
        <f>"安芸高田市吉田町山手655-4"</f>
        <v>安芸高田市吉田町山手655-4</v>
      </c>
      <c r="C784" s="2">
        <v>47118</v>
      </c>
    </row>
    <row r="785" spans="1:3" x14ac:dyDescent="0.4">
      <c r="A785" s="1" t="s">
        <v>106</v>
      </c>
      <c r="B785" s="1" t="str">
        <f>"安芸高田市吉田町常友288-1"</f>
        <v>安芸高田市吉田町常友288-1</v>
      </c>
      <c r="C785" s="2">
        <v>46387</v>
      </c>
    </row>
    <row r="786" spans="1:3" x14ac:dyDescent="0.4">
      <c r="A786" s="1" t="s">
        <v>842</v>
      </c>
      <c r="B786" s="1" t="str">
        <f>"安芸高田市向原町坂438-1"</f>
        <v>安芸高田市向原町坂438-1</v>
      </c>
      <c r="C786" s="2">
        <v>46387</v>
      </c>
    </row>
    <row r="787" spans="1:3" x14ac:dyDescent="0.4">
      <c r="A787" s="1" t="s">
        <v>843</v>
      </c>
      <c r="B787" s="1" t="str">
        <f>"安芸高田市甲田町高田原1045-1"</f>
        <v>安芸高田市甲田町高田原1045-1</v>
      </c>
      <c r="C787" s="2">
        <v>46387</v>
      </c>
    </row>
    <row r="788" spans="1:3" x14ac:dyDescent="0.4">
      <c r="A788" s="1" t="s">
        <v>744</v>
      </c>
      <c r="B788" s="1" t="str">
        <f>"安芸高田市甲田町高田原1433-1"</f>
        <v>安芸高田市甲田町高田原1433-1</v>
      </c>
      <c r="C788" s="2">
        <v>46387</v>
      </c>
    </row>
    <row r="789" spans="1:3" x14ac:dyDescent="0.4">
      <c r="A789" s="1" t="s">
        <v>844</v>
      </c>
      <c r="B789" s="1" t="str">
        <f>"安芸高田市甲田町高田原1468-14"</f>
        <v>安芸高田市甲田町高田原1468-14</v>
      </c>
      <c r="C789" s="2">
        <v>46387</v>
      </c>
    </row>
    <row r="790" spans="1:3" x14ac:dyDescent="0.4">
      <c r="A790" s="1" t="s">
        <v>846</v>
      </c>
      <c r="B790" s="1" t="str">
        <f>"安芸高田市甲田町高田原1474-1"</f>
        <v>安芸高田市甲田町高田原1474-1</v>
      </c>
      <c r="C790" s="2">
        <v>46387</v>
      </c>
    </row>
    <row r="791" spans="1:3" x14ac:dyDescent="0.4">
      <c r="A791" s="1" t="s">
        <v>847</v>
      </c>
      <c r="B791" s="1" t="str">
        <f>"安芸高田市高宮町佐々部983-18"</f>
        <v>安芸高田市高宮町佐々部983-18</v>
      </c>
      <c r="C791" s="2">
        <v>46387</v>
      </c>
    </row>
    <row r="792" spans="1:3" x14ac:dyDescent="0.4">
      <c r="A792" s="1" t="s">
        <v>845</v>
      </c>
      <c r="B792" s="1" t="str">
        <f>"安芸高田市美土里町本郷1781-8"</f>
        <v>安芸高田市美土里町本郷1781-8</v>
      </c>
      <c r="C792" s="2">
        <v>46387</v>
      </c>
    </row>
    <row r="793" spans="1:3" x14ac:dyDescent="0.4">
      <c r="A793" s="1" t="s">
        <v>792</v>
      </c>
      <c r="B793" s="1" t="str">
        <f>"江田島市江田島町切串2-17-14"</f>
        <v>江田島市江田島町切串2-17-14</v>
      </c>
      <c r="C793" s="2">
        <v>46752</v>
      </c>
    </row>
    <row r="794" spans="1:3" x14ac:dyDescent="0.4">
      <c r="A794" s="1" t="s">
        <v>132</v>
      </c>
      <c r="B794" s="1" t="str">
        <f>"江田島市江田島町中央4-17-7"</f>
        <v>江田島市江田島町中央4-17-7</v>
      </c>
      <c r="C794" s="2">
        <v>46387</v>
      </c>
    </row>
    <row r="795" spans="1:3" x14ac:dyDescent="0.4">
      <c r="A795" s="1" t="s">
        <v>791</v>
      </c>
      <c r="B795" s="1" t="str">
        <f>"江田島市大柿町柿浦991-3"</f>
        <v>江田島市大柿町柿浦991-3</v>
      </c>
      <c r="C795" s="2">
        <v>47118</v>
      </c>
    </row>
    <row r="796" spans="1:3" x14ac:dyDescent="0.4">
      <c r="A796" s="1" t="s">
        <v>815</v>
      </c>
      <c r="B796" s="1" t="str">
        <f>"江田島市大柿町小古江668-4"</f>
        <v>江田島市大柿町小古江668-4</v>
      </c>
      <c r="C796" s="2">
        <v>46387</v>
      </c>
    </row>
    <row r="797" spans="1:3" x14ac:dyDescent="0.4">
      <c r="A797" s="1" t="s">
        <v>419</v>
      </c>
      <c r="B797" s="1" t="str">
        <f>"江田島市大柿町大君835-3"</f>
        <v>江田島市大柿町大君835-3</v>
      </c>
      <c r="C797" s="2">
        <v>46387</v>
      </c>
    </row>
    <row r="798" spans="1:3" x14ac:dyDescent="0.4">
      <c r="A798" s="1" t="s">
        <v>117</v>
      </c>
      <c r="B798" s="1" t="str">
        <f>"江田島市大柿町大原5917-1"</f>
        <v>江田島市大柿町大原5917-1</v>
      </c>
      <c r="C798" s="2">
        <v>46387</v>
      </c>
    </row>
    <row r="799" spans="1:3" x14ac:dyDescent="0.4">
      <c r="A799" s="1" t="s">
        <v>832</v>
      </c>
      <c r="B799" s="1" t="str">
        <f>"江田島市大柿町飛渡瀬1540-11"</f>
        <v>江田島市大柿町飛渡瀬1540-11</v>
      </c>
      <c r="C799" s="2">
        <v>46387</v>
      </c>
    </row>
    <row r="800" spans="1:3" x14ac:dyDescent="0.4">
      <c r="A800" s="1" t="s">
        <v>836</v>
      </c>
      <c r="B800" s="1" t="str">
        <f>"江田島市能美町高田1519-2"</f>
        <v>江田島市能美町高田1519-2</v>
      </c>
      <c r="C800" s="2">
        <v>46387</v>
      </c>
    </row>
    <row r="801" spans="1:3" x14ac:dyDescent="0.4">
      <c r="A801" s="1" t="s">
        <v>299</v>
      </c>
      <c r="B801" s="1" t="str">
        <f>"江田島市能美町中町4715-6"</f>
        <v>江田島市能美町中町4715-6</v>
      </c>
      <c r="C801" s="2">
        <v>47483</v>
      </c>
    </row>
    <row r="802" spans="1:3" x14ac:dyDescent="0.4">
      <c r="A802" s="1" t="s">
        <v>329</v>
      </c>
      <c r="B802" s="1" t="str">
        <f>"江田島市能美町中町4948-40"</f>
        <v>江田島市能美町中町4948-40</v>
      </c>
      <c r="C802" s="2">
        <v>46387</v>
      </c>
    </row>
    <row r="803" spans="1:3" x14ac:dyDescent="0.4">
      <c r="A803" s="1" t="s">
        <v>394</v>
      </c>
      <c r="B803" s="1" t="str">
        <f>"安芸郡府中町宮の町3-6-11"</f>
        <v>安芸郡府中町宮の町3-6-11</v>
      </c>
      <c r="C803" s="2">
        <v>46387</v>
      </c>
    </row>
    <row r="804" spans="1:3" x14ac:dyDescent="0.4">
      <c r="A804" s="1" t="s">
        <v>804</v>
      </c>
      <c r="B804" s="1" t="str">
        <f>"安芸郡府中町山田1-2-9"</f>
        <v>安芸郡府中町山田1-2-9</v>
      </c>
      <c r="C804" s="2">
        <v>46387</v>
      </c>
    </row>
    <row r="805" spans="1:3" x14ac:dyDescent="0.4">
      <c r="A805" s="1" t="s">
        <v>395</v>
      </c>
      <c r="B805" s="1" t="str">
        <f>"安芸郡府中町鹿籠2-13-3"</f>
        <v>安芸郡府中町鹿籠2-13-3</v>
      </c>
      <c r="C805" s="2">
        <v>46387</v>
      </c>
    </row>
    <row r="806" spans="1:3" x14ac:dyDescent="0.4">
      <c r="A806" s="1" t="s">
        <v>139</v>
      </c>
      <c r="B806" s="1" t="str">
        <f>"安芸郡府中町青崎中24-26"</f>
        <v>安芸郡府中町青崎中24-26</v>
      </c>
      <c r="C806" s="2">
        <v>46387</v>
      </c>
    </row>
    <row r="807" spans="1:3" x14ac:dyDescent="0.4">
      <c r="A807" s="1" t="s">
        <v>819</v>
      </c>
      <c r="B807" s="1" t="str">
        <f>"安芸郡府中町青崎東19-34-101"</f>
        <v>安芸郡府中町青崎東19-34-101</v>
      </c>
      <c r="C807" s="2">
        <v>46387</v>
      </c>
    </row>
    <row r="808" spans="1:3" x14ac:dyDescent="0.4">
      <c r="A808" s="1" t="s">
        <v>824</v>
      </c>
      <c r="B808" s="1" t="str">
        <f>"安芸郡府中町青崎東19-49-18"</f>
        <v>安芸郡府中町青崎東19-49-18</v>
      </c>
      <c r="C808" s="2">
        <v>46752</v>
      </c>
    </row>
    <row r="809" spans="1:3" x14ac:dyDescent="0.4">
      <c r="A809" s="1" t="s">
        <v>806</v>
      </c>
      <c r="B809" s="1" t="str">
        <f>"安芸郡府中町青崎東20-2"</f>
        <v>安芸郡府中町青崎東20-2</v>
      </c>
      <c r="C809" s="2">
        <v>46387</v>
      </c>
    </row>
    <row r="810" spans="1:3" x14ac:dyDescent="0.4">
      <c r="A810" s="1" t="s">
        <v>805</v>
      </c>
      <c r="B810" s="1" t="str">
        <f>"安芸郡府中町青崎南2-11"</f>
        <v>安芸郡府中町青崎南2-11</v>
      </c>
      <c r="C810" s="2">
        <v>46387</v>
      </c>
    </row>
    <row r="811" spans="1:3" x14ac:dyDescent="0.4">
      <c r="A811" s="1" t="s">
        <v>221</v>
      </c>
      <c r="B811" s="1" t="str">
        <f>"安芸郡府中町青崎南2-2"</f>
        <v>安芸郡府中町青崎南2-2</v>
      </c>
      <c r="C811" s="2">
        <v>46387</v>
      </c>
    </row>
    <row r="812" spans="1:3" x14ac:dyDescent="0.4">
      <c r="A812" s="1" t="s">
        <v>813</v>
      </c>
      <c r="B812" s="1" t="str">
        <f>"安芸郡府中町青崎南8-2-102"</f>
        <v>安芸郡府中町青崎南8-2-102</v>
      </c>
      <c r="C812" s="2">
        <v>46387</v>
      </c>
    </row>
    <row r="813" spans="1:3" x14ac:dyDescent="0.4">
      <c r="A813" s="1" t="s">
        <v>807</v>
      </c>
      <c r="B813" s="1" t="str">
        <f>"安芸郡府中町石井城1-5-32-102"</f>
        <v>安芸郡府中町石井城1-5-32-102</v>
      </c>
      <c r="C813" s="2">
        <v>46387</v>
      </c>
    </row>
    <row r="814" spans="1:3" x14ac:dyDescent="0.4">
      <c r="A814" s="1" t="s">
        <v>65</v>
      </c>
      <c r="B814" s="1" t="str">
        <f>"安芸郡府中町石井城2-10-28"</f>
        <v>安芸郡府中町石井城2-10-28</v>
      </c>
      <c r="C814" s="2">
        <v>46387</v>
      </c>
    </row>
    <row r="815" spans="1:3" x14ac:dyDescent="0.4">
      <c r="A815" s="1" t="s">
        <v>86</v>
      </c>
      <c r="B815" s="1" t="str">
        <f>"安芸郡府中町大須1-15-2"</f>
        <v>安芸郡府中町大須1-15-2</v>
      </c>
      <c r="C815" s="2">
        <v>46387</v>
      </c>
    </row>
    <row r="816" spans="1:3" x14ac:dyDescent="0.4">
      <c r="A816" s="1" t="s">
        <v>821</v>
      </c>
      <c r="B816" s="1" t="str">
        <f>"安芸郡府中町大須2-1-1"</f>
        <v>安芸郡府中町大須2-1-1</v>
      </c>
      <c r="C816" s="2">
        <v>46387</v>
      </c>
    </row>
    <row r="817" spans="1:3" x14ac:dyDescent="0.4">
      <c r="A817" s="1" t="s">
        <v>811</v>
      </c>
      <c r="B817" s="1" t="str">
        <f>"安芸郡府中町大須2-1-1-2F イオンモール"</f>
        <v>安芸郡府中町大須2-1-1-2F イオンモール</v>
      </c>
      <c r="C817" s="2">
        <v>46387</v>
      </c>
    </row>
    <row r="818" spans="1:3" x14ac:dyDescent="0.4">
      <c r="A818" s="1" t="s">
        <v>817</v>
      </c>
      <c r="B818" s="1" t="str">
        <f>"安芸郡府中町大須3-2-17"</f>
        <v>安芸郡府中町大須3-2-17</v>
      </c>
      <c r="C818" s="2">
        <v>46387</v>
      </c>
    </row>
    <row r="819" spans="1:3" x14ac:dyDescent="0.4">
      <c r="A819" s="1" t="s">
        <v>721</v>
      </c>
      <c r="B819" s="1" t="str">
        <f>"安芸郡府中町大通2-10-10"</f>
        <v>安芸郡府中町大通2-10-10</v>
      </c>
      <c r="C819" s="2">
        <v>46387</v>
      </c>
    </row>
    <row r="820" spans="1:3" x14ac:dyDescent="0.4">
      <c r="A820" s="1" t="s">
        <v>345</v>
      </c>
      <c r="B820" s="1" t="str">
        <f>"安芸郡府中町大通2-8-21"</f>
        <v>安芸郡府中町大通2-8-21</v>
      </c>
      <c r="C820" s="2">
        <v>46387</v>
      </c>
    </row>
    <row r="821" spans="1:3" x14ac:dyDescent="0.4">
      <c r="A821" s="1" t="s">
        <v>522</v>
      </c>
      <c r="B821" s="1" t="str">
        <f>"安芸郡府中町鶴江1-25-20"</f>
        <v>安芸郡府中町鶴江1-25-20</v>
      </c>
      <c r="C821" s="2">
        <v>46387</v>
      </c>
    </row>
    <row r="822" spans="1:3" x14ac:dyDescent="0.4">
      <c r="A822" s="1" t="s">
        <v>243</v>
      </c>
      <c r="B822" s="1" t="str">
        <f>"安芸郡府中町桃山1-1-25"</f>
        <v>安芸郡府中町桃山1-1-25</v>
      </c>
      <c r="C822" s="2">
        <v>46022</v>
      </c>
    </row>
    <row r="823" spans="1:3" x14ac:dyDescent="0.4">
      <c r="A823" s="1" t="s">
        <v>327</v>
      </c>
      <c r="B823" s="1" t="str">
        <f>"安芸郡府中町桃山1-2-17"</f>
        <v>安芸郡府中町桃山1-2-17</v>
      </c>
      <c r="C823" s="2">
        <v>46387</v>
      </c>
    </row>
    <row r="824" spans="1:3" x14ac:dyDescent="0.4">
      <c r="A824" s="1" t="s">
        <v>31</v>
      </c>
      <c r="B824" s="1" t="str">
        <f>"安芸郡府中町桃山1-4-18"</f>
        <v>安芸郡府中町桃山1-4-18</v>
      </c>
      <c r="C824" s="2">
        <v>46752</v>
      </c>
    </row>
    <row r="825" spans="1:3" x14ac:dyDescent="0.4">
      <c r="A825" s="1" t="s">
        <v>826</v>
      </c>
      <c r="B825" s="1" t="str">
        <f>"安芸郡府中町浜田2-1-37"</f>
        <v>安芸郡府中町浜田2-1-37</v>
      </c>
      <c r="C825" s="2">
        <v>47483</v>
      </c>
    </row>
    <row r="826" spans="1:3" x14ac:dyDescent="0.4">
      <c r="A826" s="1" t="s">
        <v>660</v>
      </c>
      <c r="B826" s="1" t="str">
        <f>"安芸郡府中町浜田3-9-6"</f>
        <v>安芸郡府中町浜田3-9-6</v>
      </c>
      <c r="C826" s="2">
        <v>46387</v>
      </c>
    </row>
    <row r="827" spans="1:3" x14ac:dyDescent="0.4">
      <c r="A827" s="1" t="s">
        <v>751</v>
      </c>
      <c r="B827" s="1" t="str">
        <f>"安芸郡府中町浜田本町1-28"</f>
        <v>安芸郡府中町浜田本町1-28</v>
      </c>
      <c r="C827" s="2">
        <v>46387</v>
      </c>
    </row>
    <row r="828" spans="1:3" x14ac:dyDescent="0.4">
      <c r="A828" s="1" t="s">
        <v>812</v>
      </c>
      <c r="B828" s="1" t="str">
        <f>"安芸郡府中町浜田本町3-25"</f>
        <v>安芸郡府中町浜田本町3-25</v>
      </c>
      <c r="C828" s="2">
        <v>46387</v>
      </c>
    </row>
    <row r="829" spans="1:3" x14ac:dyDescent="0.4">
      <c r="A829" s="1" t="s">
        <v>818</v>
      </c>
      <c r="B829" s="1" t="str">
        <f>"安芸郡府中町本町1-13-7"</f>
        <v>安芸郡府中町本町1-13-7</v>
      </c>
      <c r="C829" s="2">
        <v>46387</v>
      </c>
    </row>
    <row r="830" spans="1:3" x14ac:dyDescent="0.4">
      <c r="A830" s="1" t="s">
        <v>19</v>
      </c>
      <c r="B830" s="1" t="str">
        <f>"安芸郡府中町本町1-4-11"</f>
        <v>安芸郡府中町本町1-4-11</v>
      </c>
      <c r="C830" s="2">
        <v>46387</v>
      </c>
    </row>
    <row r="831" spans="1:3" x14ac:dyDescent="0.4">
      <c r="A831" s="1" t="s">
        <v>677</v>
      </c>
      <c r="B831" s="1" t="str">
        <f>"安芸郡府中町本町2-9-38"</f>
        <v>安芸郡府中町本町2-9-38</v>
      </c>
      <c r="C831" s="2">
        <v>46387</v>
      </c>
    </row>
    <row r="832" spans="1:3" x14ac:dyDescent="0.4">
      <c r="A832" s="1" t="s">
        <v>801</v>
      </c>
      <c r="B832" s="1" t="str">
        <f>"安芸郡府中町本町3-5-18"</f>
        <v>安芸郡府中町本町3-5-18</v>
      </c>
      <c r="C832" s="2">
        <v>46387</v>
      </c>
    </row>
    <row r="833" spans="1:3" x14ac:dyDescent="0.4">
      <c r="A833" s="1" t="s">
        <v>814</v>
      </c>
      <c r="B833" s="1" t="str">
        <f>"安芸郡府中町本町4-12-22"</f>
        <v>安芸郡府中町本町4-12-22</v>
      </c>
      <c r="C833" s="2">
        <v>46387</v>
      </c>
    </row>
    <row r="834" spans="1:3" x14ac:dyDescent="0.4">
      <c r="A834" s="1" t="s">
        <v>823</v>
      </c>
      <c r="B834" s="1" t="str">
        <f>"安芸郡府中町本町5-5-1"</f>
        <v>安芸郡府中町本町5-5-1</v>
      </c>
      <c r="C834" s="2">
        <v>46022</v>
      </c>
    </row>
    <row r="835" spans="1:3" x14ac:dyDescent="0.4">
      <c r="A835" s="1" t="s">
        <v>593</v>
      </c>
      <c r="B835" s="1" t="str">
        <f>"安芸郡海田町稲荷町3-35"</f>
        <v>安芸郡海田町稲荷町3-35</v>
      </c>
      <c r="C835" s="2">
        <v>46387</v>
      </c>
    </row>
    <row r="836" spans="1:3" x14ac:dyDescent="0.4">
      <c r="A836" s="1" t="s">
        <v>207</v>
      </c>
      <c r="B836" s="1" t="str">
        <f>"安芸郡海田町稲荷町7-15"</f>
        <v>安芸郡海田町稲荷町7-15</v>
      </c>
      <c r="C836" s="2">
        <v>47118</v>
      </c>
    </row>
    <row r="837" spans="1:3" x14ac:dyDescent="0.4">
      <c r="A837" s="1" t="s">
        <v>802</v>
      </c>
      <c r="B837" s="1" t="str">
        <f>"安芸郡海田町稲荷町9-18"</f>
        <v>安芸郡海田町稲荷町9-18</v>
      </c>
      <c r="C837" s="2">
        <v>46387</v>
      </c>
    </row>
    <row r="838" spans="1:3" x14ac:dyDescent="0.4">
      <c r="A838" s="1" t="s">
        <v>160</v>
      </c>
      <c r="B838" s="1" t="str">
        <f>"安芸郡海田町栄町5-29"</f>
        <v>安芸郡海田町栄町5-29</v>
      </c>
      <c r="C838" s="2">
        <v>47483</v>
      </c>
    </row>
    <row r="839" spans="1:3" x14ac:dyDescent="0.4">
      <c r="A839" s="1" t="s">
        <v>803</v>
      </c>
      <c r="B839" s="1" t="str">
        <f>"安芸郡海田町窪町10-18"</f>
        <v>安芸郡海田町窪町10-18</v>
      </c>
      <c r="C839" s="2">
        <v>46387</v>
      </c>
    </row>
    <row r="840" spans="1:3" x14ac:dyDescent="0.4">
      <c r="A840" s="1" t="s">
        <v>308</v>
      </c>
      <c r="B840" s="1" t="str">
        <f>"安芸郡海田町窪町1-23"</f>
        <v>安芸郡海田町窪町1-23</v>
      </c>
      <c r="C840" s="2">
        <v>46022</v>
      </c>
    </row>
    <row r="841" spans="1:3" x14ac:dyDescent="0.4">
      <c r="A841" s="1" t="s">
        <v>257</v>
      </c>
      <c r="B841" s="1" t="str">
        <f>"安芸郡海田町窪町2-14"</f>
        <v>安芸郡海田町窪町2-14</v>
      </c>
      <c r="C841" s="2">
        <v>46022</v>
      </c>
    </row>
    <row r="842" spans="1:3" x14ac:dyDescent="0.4">
      <c r="A842" s="1" t="s">
        <v>810</v>
      </c>
      <c r="B842" s="1" t="str">
        <f>"安芸郡海田町幸町1-45"</f>
        <v>安芸郡海田町幸町1-45</v>
      </c>
      <c r="C842" s="2">
        <v>46387</v>
      </c>
    </row>
    <row r="843" spans="1:3" x14ac:dyDescent="0.4">
      <c r="A843" s="1" t="s">
        <v>113</v>
      </c>
      <c r="B843" s="1" t="str">
        <f>"安芸郡海田町幸町8-14-3"</f>
        <v>安芸郡海田町幸町8-14-3</v>
      </c>
      <c r="C843" s="2">
        <v>46387</v>
      </c>
    </row>
    <row r="844" spans="1:3" x14ac:dyDescent="0.4">
      <c r="A844" s="1" t="s">
        <v>314</v>
      </c>
      <c r="B844" s="1" t="str">
        <f>"安芸郡海田町新町11-21"</f>
        <v>安芸郡海田町新町11-21</v>
      </c>
      <c r="C844" s="2">
        <v>46387</v>
      </c>
    </row>
    <row r="845" spans="1:3" x14ac:dyDescent="0.4">
      <c r="A845" s="1" t="s">
        <v>822</v>
      </c>
      <c r="B845" s="1" t="str">
        <f>"安芸郡海田町成本14-10"</f>
        <v>安芸郡海田町成本14-10</v>
      </c>
      <c r="C845" s="2">
        <v>47118</v>
      </c>
    </row>
    <row r="846" spans="1:3" x14ac:dyDescent="0.4">
      <c r="A846" s="1" t="s">
        <v>228</v>
      </c>
      <c r="B846" s="1" t="str">
        <f>"安芸郡海田町西浜4-22-2"</f>
        <v>安芸郡海田町西浜4-22-2</v>
      </c>
      <c r="C846" s="2">
        <v>46022</v>
      </c>
    </row>
    <row r="847" spans="1:3" x14ac:dyDescent="0.4">
      <c r="A847" s="1" t="s">
        <v>389</v>
      </c>
      <c r="B847" s="1" t="str">
        <f>"安芸郡海田町南大正町3-25"</f>
        <v>安芸郡海田町南大正町3-25</v>
      </c>
      <c r="C847" s="2">
        <v>46387</v>
      </c>
    </row>
    <row r="848" spans="1:3" x14ac:dyDescent="0.4">
      <c r="A848" s="1" t="s">
        <v>808</v>
      </c>
      <c r="B848" s="1" t="str">
        <f>"安芸郡海田町日の出町6-6"</f>
        <v>安芸郡海田町日の出町6-6</v>
      </c>
      <c r="C848" s="2">
        <v>46387</v>
      </c>
    </row>
    <row r="849" spans="1:3" x14ac:dyDescent="0.4">
      <c r="A849" s="1" t="s">
        <v>816</v>
      </c>
      <c r="B849" s="1" t="str">
        <f>"安芸郡海田町堀川3-5"</f>
        <v>安芸郡海田町堀川3-5</v>
      </c>
      <c r="C849" s="2">
        <v>46387</v>
      </c>
    </row>
    <row r="850" spans="1:3" x14ac:dyDescent="0.4">
      <c r="A850" s="1" t="s">
        <v>825</v>
      </c>
      <c r="B850" s="1" t="str">
        <f>"安芸郡海田町堀川町3-5"</f>
        <v>安芸郡海田町堀川町3-5</v>
      </c>
      <c r="C850" s="2">
        <v>47118</v>
      </c>
    </row>
    <row r="851" spans="1:3" x14ac:dyDescent="0.4">
      <c r="A851" s="1" t="s">
        <v>320</v>
      </c>
      <c r="B851" s="1" t="str">
        <f>"安芸郡熊野町貴船18-15"</f>
        <v>安芸郡熊野町貴船18-15</v>
      </c>
      <c r="C851" s="2">
        <v>46387</v>
      </c>
    </row>
    <row r="852" spans="1:3" x14ac:dyDescent="0.4">
      <c r="A852" s="1" t="s">
        <v>288</v>
      </c>
      <c r="B852" s="1" t="str">
        <f>"安芸郡熊野町出来庭10-4-5"</f>
        <v>安芸郡熊野町出来庭10-4-5</v>
      </c>
      <c r="C852" s="2">
        <v>46387</v>
      </c>
    </row>
    <row r="853" spans="1:3" x14ac:dyDescent="0.4">
      <c r="A853" s="1" t="s">
        <v>795</v>
      </c>
      <c r="B853" s="1" t="str">
        <f>"安芸郡熊野町出来庭2-18-9"</f>
        <v>安芸郡熊野町出来庭2-18-9</v>
      </c>
      <c r="C853" s="2">
        <v>46387</v>
      </c>
    </row>
    <row r="854" spans="1:3" x14ac:dyDescent="0.4">
      <c r="A854" s="1" t="s">
        <v>800</v>
      </c>
      <c r="B854" s="1" t="str">
        <f>"安芸郡熊野町出来庭3-3-24"</f>
        <v>安芸郡熊野町出来庭3-3-24</v>
      </c>
      <c r="C854" s="2">
        <v>46387</v>
      </c>
    </row>
    <row r="855" spans="1:3" x14ac:dyDescent="0.4">
      <c r="A855" s="1" t="s">
        <v>142</v>
      </c>
      <c r="B855" s="1" t="str">
        <f>"安芸郡熊野町石神2-25"</f>
        <v>安芸郡熊野町石神2-25</v>
      </c>
      <c r="C855" s="2">
        <v>46387</v>
      </c>
    </row>
    <row r="856" spans="1:3" x14ac:dyDescent="0.4">
      <c r="A856" s="1" t="s">
        <v>148</v>
      </c>
      <c r="B856" s="1" t="str">
        <f>"安芸郡熊野町川角3-4-10"</f>
        <v>安芸郡熊野町川角3-4-10</v>
      </c>
      <c r="C856" s="2">
        <v>46387</v>
      </c>
    </row>
    <row r="857" spans="1:3" x14ac:dyDescent="0.4">
      <c r="A857" s="1" t="s">
        <v>798</v>
      </c>
      <c r="B857" s="1" t="str">
        <f>"安芸郡熊野町萩原2-2-9"</f>
        <v>安芸郡熊野町萩原2-2-9</v>
      </c>
      <c r="C857" s="2">
        <v>46387</v>
      </c>
    </row>
    <row r="858" spans="1:3" x14ac:dyDescent="0.4">
      <c r="A858" s="1" t="s">
        <v>799</v>
      </c>
      <c r="B858" s="1" t="str">
        <f>"安芸郡熊野町萩原6-21-11"</f>
        <v>安芸郡熊野町萩原6-21-11</v>
      </c>
      <c r="C858" s="2">
        <v>46387</v>
      </c>
    </row>
    <row r="859" spans="1:3" x14ac:dyDescent="0.4">
      <c r="A859" s="1" t="s">
        <v>247</v>
      </c>
      <c r="B859" s="1" t="str">
        <f>"安芸郡坂町横浜中央1-3-5"</f>
        <v>安芸郡坂町横浜中央1-3-5</v>
      </c>
      <c r="C859" s="2">
        <v>46387</v>
      </c>
    </row>
    <row r="860" spans="1:3" x14ac:dyDescent="0.4">
      <c r="A860" s="1" t="s">
        <v>741</v>
      </c>
      <c r="B860" s="1" t="str">
        <f>"安芸郡坂町坂西1-3-21"</f>
        <v>安芸郡坂町坂西1-3-21</v>
      </c>
      <c r="C860" s="2">
        <v>47483</v>
      </c>
    </row>
    <row r="861" spans="1:3" x14ac:dyDescent="0.4">
      <c r="A861" s="1" t="s">
        <v>251</v>
      </c>
      <c r="B861" s="1" t="str">
        <f>"安芸郡坂町平成ケ浜1-8-40"</f>
        <v>安芸郡坂町平成ケ浜1-8-40</v>
      </c>
      <c r="C861" s="2">
        <v>47118</v>
      </c>
    </row>
    <row r="862" spans="1:3" x14ac:dyDescent="0.4">
      <c r="A862" s="1" t="s">
        <v>841</v>
      </c>
      <c r="B862" s="1" t="str">
        <f>"山県郡安芸太田町下殿河内236-3"</f>
        <v>山県郡安芸太田町下殿河内236-3</v>
      </c>
      <c r="C862" s="2">
        <v>47483</v>
      </c>
    </row>
    <row r="863" spans="1:3" x14ac:dyDescent="0.4">
      <c r="A863" s="1" t="s">
        <v>409</v>
      </c>
      <c r="B863" s="1" t="str">
        <f>"山県郡安芸太田町下殿河内710-5"</f>
        <v>山県郡安芸太田町下殿河内710-5</v>
      </c>
      <c r="C863" s="2">
        <v>47483</v>
      </c>
    </row>
    <row r="864" spans="1:3" x14ac:dyDescent="0.4">
      <c r="A864" s="1" t="s">
        <v>483</v>
      </c>
      <c r="B864" s="1" t="str">
        <f>"山県郡安芸太田町加計3485-11"</f>
        <v>山県郡安芸太田町加計3485-11</v>
      </c>
      <c r="C864" s="2">
        <v>47483</v>
      </c>
    </row>
    <row r="865" spans="1:3" x14ac:dyDescent="0.4">
      <c r="A865" s="1" t="s">
        <v>838</v>
      </c>
      <c r="B865" s="1" t="str">
        <f>"山県郡安芸太田町戸河内813-7"</f>
        <v>山県郡安芸太田町戸河内813-7</v>
      </c>
      <c r="C865" s="2">
        <v>46387</v>
      </c>
    </row>
    <row r="866" spans="1:3" x14ac:dyDescent="0.4">
      <c r="A866" s="1" t="s">
        <v>76</v>
      </c>
      <c r="B866" s="1" t="str">
        <f>"山県郡北広島町阿坂4704-3"</f>
        <v>山県郡北広島町阿坂4704-3</v>
      </c>
      <c r="C866" s="2">
        <v>47483</v>
      </c>
    </row>
    <row r="867" spans="1:3" x14ac:dyDescent="0.4">
      <c r="A867" s="1" t="s">
        <v>840</v>
      </c>
      <c r="B867" s="1" t="str">
        <f>"山県郡北広島町荒神原208-4"</f>
        <v>山県郡北広島町荒神原208-4</v>
      </c>
      <c r="C867" s="2">
        <v>46387</v>
      </c>
    </row>
    <row r="868" spans="1:3" x14ac:dyDescent="0.4">
      <c r="A868" s="1" t="s">
        <v>146</v>
      </c>
      <c r="B868" s="1" t="str">
        <f>"山県郡北広島町新庄2048-1"</f>
        <v>山県郡北広島町新庄2048-1</v>
      </c>
      <c r="C868" s="2">
        <v>46387</v>
      </c>
    </row>
    <row r="869" spans="1:3" x14ac:dyDescent="0.4">
      <c r="A869" s="1" t="s">
        <v>280</v>
      </c>
      <c r="B869" s="1" t="str">
        <f>"山県郡北広島町壬生434-4"</f>
        <v>山県郡北広島町壬生434-4</v>
      </c>
      <c r="C869" s="2">
        <v>46387</v>
      </c>
    </row>
    <row r="870" spans="1:3" x14ac:dyDescent="0.4">
      <c r="A870" s="1" t="s">
        <v>100</v>
      </c>
      <c r="B870" s="1" t="str">
        <f>"山県郡北広島町蔵迫665-4"</f>
        <v>山県郡北広島町蔵迫665-4</v>
      </c>
      <c r="C870" s="2">
        <v>46387</v>
      </c>
    </row>
    <row r="871" spans="1:3" x14ac:dyDescent="0.4">
      <c r="A871" s="1" t="s">
        <v>128</v>
      </c>
      <c r="B871" s="1" t="s">
        <v>837</v>
      </c>
      <c r="C871" s="2">
        <v>46387</v>
      </c>
    </row>
    <row r="872" spans="1:3" x14ac:dyDescent="0.4">
      <c r="A872" s="1" t="s">
        <v>341</v>
      </c>
      <c r="B872" s="1" t="s">
        <v>839</v>
      </c>
      <c r="C872" s="2">
        <v>46387</v>
      </c>
    </row>
    <row r="873" spans="1:3" x14ac:dyDescent="0.4">
      <c r="A873" s="1" t="s">
        <v>183</v>
      </c>
      <c r="B873" s="1" t="str">
        <f>"豊田郡大崎上島町沖浦1001-2"</f>
        <v>豊田郡大崎上島町沖浦1001-2</v>
      </c>
      <c r="C873" s="2">
        <v>46387</v>
      </c>
    </row>
    <row r="874" spans="1:3" x14ac:dyDescent="0.4">
      <c r="A874" s="1" t="s">
        <v>854</v>
      </c>
      <c r="B874" s="1" t="str">
        <f>"豊田郡大崎上島町中野4102-2"</f>
        <v>豊田郡大崎上島町中野4102-2</v>
      </c>
      <c r="C874" s="2">
        <v>47118</v>
      </c>
    </row>
    <row r="875" spans="1:3" x14ac:dyDescent="0.4">
      <c r="A875" s="1" t="s">
        <v>81</v>
      </c>
      <c r="B875" s="1" t="str">
        <f>"豊田郡大崎上島町明石東浜2696-1"</f>
        <v>豊田郡大崎上島町明石東浜2696-1</v>
      </c>
      <c r="C875" s="2">
        <v>46752</v>
      </c>
    </row>
    <row r="876" spans="1:3" x14ac:dyDescent="0.4">
      <c r="A876" s="1" t="s">
        <v>865</v>
      </c>
      <c r="B876" s="1" t="str">
        <f>"世羅郡世羅町寺町1557-2"</f>
        <v>世羅郡世羅町寺町1557-2</v>
      </c>
      <c r="C876" s="2">
        <v>46387</v>
      </c>
    </row>
    <row r="877" spans="1:3" x14ac:dyDescent="0.4">
      <c r="A877" s="1" t="s">
        <v>863</v>
      </c>
      <c r="B877" s="1" t="str">
        <f>"世羅郡世羅町西上原482-3"</f>
        <v>世羅郡世羅町西上原482-3</v>
      </c>
      <c r="C877" s="2">
        <v>46387</v>
      </c>
    </row>
    <row r="878" spans="1:3" x14ac:dyDescent="0.4">
      <c r="A878" s="1" t="s">
        <v>223</v>
      </c>
      <c r="B878" s="1" t="str">
        <f>"世羅郡世羅町本郷822-13"</f>
        <v>世羅郡世羅町本郷822-13</v>
      </c>
      <c r="C878" s="2">
        <v>46387</v>
      </c>
    </row>
    <row r="879" spans="1:3" x14ac:dyDescent="0.4">
      <c r="A879" s="1" t="s">
        <v>864</v>
      </c>
      <c r="B879" s="1" t="str">
        <f>"世羅郡世羅町本郷940-2"</f>
        <v>世羅郡世羅町本郷940-2</v>
      </c>
      <c r="C879" s="2">
        <v>46387</v>
      </c>
    </row>
    <row r="880" spans="1:3" x14ac:dyDescent="0.4">
      <c r="A880" s="1" t="s">
        <v>866</v>
      </c>
      <c r="B880" s="1" t="str">
        <f>"世羅郡世羅町本郷942-4"</f>
        <v>世羅郡世羅町本郷942-4</v>
      </c>
      <c r="C880" s="2">
        <v>47118</v>
      </c>
    </row>
    <row r="881" spans="1:3" x14ac:dyDescent="0.4">
      <c r="A881" s="1" t="s">
        <v>862</v>
      </c>
      <c r="B881" s="1" t="str">
        <f>"世羅郡世羅町本郷音丸1025-4"</f>
        <v>世羅郡世羅町本郷音丸1025-4</v>
      </c>
      <c r="C881" s="2">
        <v>46387</v>
      </c>
    </row>
    <row r="882" spans="1:3" x14ac:dyDescent="0.4">
      <c r="A882" s="1" t="s">
        <v>478</v>
      </c>
      <c r="B882" s="1" t="str">
        <f>"神石郡神石高原町小畠1711-3"</f>
        <v>神石郡神石高原町小畠1711-3</v>
      </c>
      <c r="C882" s="2">
        <v>46752</v>
      </c>
    </row>
    <row r="883" spans="1:3" x14ac:dyDescent="0.4">
      <c r="A883" s="1" t="s">
        <v>245</v>
      </c>
      <c r="B883" s="1" t="str">
        <f>"神石郡神石高原町福永1492-1"</f>
        <v>神石郡神石高原町福永1492-1</v>
      </c>
      <c r="C883" s="2">
        <v>46387</v>
      </c>
    </row>
  </sheetData>
  <mergeCells count="1">
    <mergeCell ref="A1:C1"/>
  </mergeCells>
  <phoneticPr fontId="1"/>
  <pageMargins left="0.7" right="0.7" top="0.75" bottom="0.75" header="0.3" footer="0.3"/>
  <pageSetup paperSize="9" orientation="portrait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9 m b a W A p + 4 e e l A A A A 9 g A A A B I A H A B D b 2 5 m a W c v U G F j a 2 F n Z S 5 4 b W w g o h g A K K A U A A A A A A A A A A A A A A A A A A A A A A A A A A A A h Y 8 x D o I w G I W v Q r r T l h o T Q n 7 K 4 G Y k I T E x r k 2 p U I V i a L H c z c E j e Q U x i r o 5 v u 9 9 w 3 v 3 6 w 2 y s W 2 C i + q t 7 k y K I k x R o I z s S m 2 q F A 3 u E M Y o 4 1 A I e R K V C i b Z 2 G S 0 Z Y p q 5 8 4 J I d 5 7 7 B e 4 6 y v C K I 3 I P t 9 s Z a 1 a g T 6 y / i + H 2 l g n j F S I w + 4 1 h j M c s R i z J c M U y A w h 1 + Y r s G n v s / 2 B s B o a N / S K H 0 W 4 L o D M E c j 7 A 3 8 A U E s D B B Q A A g A I A P Z m 2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2 Z t p Y K I p H u A 4 A A A A R A A A A E w A c A E Z v c m 1 1 b G F z L 1 N l Y 3 R p b 2 4 x L m 0 g o h g A K K A U A A A A A A A A A A A A A A A A A A A A A A A A A A A A K 0 5 N L s n M z 1 M I h t C G 1 g B Q S w E C L Q A U A A I A C A D 2 Z t p Y C n 7 h 5 6 U A A A D 2 A A A A E g A A A A A A A A A A A A A A A A A A A A A A Q 2 9 u Z m l n L 1 B h Y 2 t h Z 2 U u e G 1 s U E s B A i 0 A F A A C A A g A 9 m b a W A / K 6 a u k A A A A 6 Q A A A B M A A A A A A A A A A A A A A A A A 8 Q A A A F t D b 2 5 0 Z W 5 0 X 1 R 5 c G V z X S 5 4 b W x Q S w E C L Q A U A A I A C A D 2 Z t p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s 2 d l i 3 v R 5 E S Q b c z m q y b a Q w A A A A A C A A A A A A A D Z g A A w A A A A B A A A A D + L D 7 t Q C w H N 5 E O 4 4 m + Y m E p A A A A A A S A A A C g A A A A E A A A A K K p o 9 7 3 u w k X w q Z t 2 7 1 W 1 x x Q A A A A H t d q C D u K 1 P t D L g 1 4 v P f X Z n a w g k 9 F w h j B Z 6 i m h B 9 Z 0 g e 4 u t f y f 2 H S l x F Z t 1 F G g 6 t s l K U v 3 V 6 w j g L P B v S h z / U E x P W N V 1 0 6 k 5 n a e r o u 8 Z c 3 L N U U A A A A b F u u u Z 9 N T 7 8 3 h E v n m g H l Y y 3 4 p u s = < / D a t a M a s h u p > 
</file>

<file path=customXml/itemProps1.xml><?xml version="1.0" encoding="utf-8"?>
<ds:datastoreItem xmlns:ds="http://schemas.openxmlformats.org/officeDocument/2006/customXml" ds:itemID="{5DB2D642-1D0C-4FFA-B245-2C5621A9855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難病（薬局）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美佐緒</dc:creator>
  <cp:lastModifiedBy>森 美佐緒</cp:lastModifiedBy>
  <dcterms:created xsi:type="dcterms:W3CDTF">2024-06-25T06:12:37Z</dcterms:created>
  <dcterms:modified xsi:type="dcterms:W3CDTF">2024-06-26T04:21:37Z</dcterms:modified>
</cp:coreProperties>
</file>