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e1188\Desktop\"/>
    </mc:Choice>
  </mc:AlternateContent>
  <xr:revisionPtr revIDLastSave="0" documentId="13_ncr:1_{23A8A97B-C0AC-472D-940C-9A732EE050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6.7.1難病指定医" sheetId="1" r:id="rId1"/>
  </sheets>
  <definedNames>
    <definedName name="_xlnm.Print_Area" localSheetId="0">'R6.7.1難病指定医'!$A$1:$E$1722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2" i="1" l="1"/>
  <c r="C581" i="1"/>
  <c r="C293" i="1"/>
  <c r="C1655" i="1"/>
  <c r="C1511" i="1"/>
  <c r="C1510" i="1"/>
  <c r="C1522" i="1"/>
  <c r="C667" i="1"/>
  <c r="C98" i="1"/>
  <c r="C1163" i="1"/>
  <c r="C1521" i="1"/>
  <c r="C1427" i="1"/>
  <c r="C931" i="1"/>
  <c r="C1717" i="1"/>
  <c r="C922" i="1"/>
  <c r="C560" i="1"/>
  <c r="C233" i="1"/>
  <c r="C1572" i="1"/>
  <c r="C23" i="1"/>
  <c r="C262" i="1"/>
  <c r="C921" i="1"/>
  <c r="C454" i="1"/>
  <c r="C1617" i="1"/>
  <c r="C1616" i="1"/>
  <c r="C840" i="1"/>
  <c r="C1722" i="1"/>
  <c r="C1721" i="1"/>
  <c r="C30" i="1"/>
  <c r="C571" i="1"/>
  <c r="C984" i="1"/>
  <c r="C788" i="1"/>
  <c r="C425" i="1"/>
  <c r="C1414" i="1"/>
  <c r="C100" i="1"/>
  <c r="C1695" i="1"/>
  <c r="C1515" i="1"/>
  <c r="C1615" i="1"/>
  <c r="C853" i="1"/>
  <c r="C817" i="1"/>
  <c r="C772" i="1"/>
  <c r="C920" i="1"/>
  <c r="C1614" i="1"/>
  <c r="C1395" i="1"/>
  <c r="C1461" i="1"/>
  <c r="C1209" i="1"/>
  <c r="C563" i="1"/>
  <c r="C1054" i="1"/>
  <c r="C569" i="1"/>
  <c r="C1141" i="1"/>
  <c r="C306" i="1"/>
  <c r="C1279" i="1"/>
  <c r="C626" i="1"/>
  <c r="C1167" i="1"/>
  <c r="C742" i="1"/>
  <c r="C972" i="1"/>
  <c r="C782" i="1"/>
  <c r="C1375" i="1"/>
  <c r="C1243" i="1"/>
  <c r="C363" i="1"/>
  <c r="C761" i="1"/>
  <c r="C1057" i="1"/>
  <c r="C261" i="1"/>
  <c r="C1058" i="1"/>
  <c r="C979" i="1"/>
  <c r="C1088" i="1"/>
  <c r="C1438" i="1"/>
  <c r="C1135" i="1"/>
  <c r="C1665" i="1"/>
  <c r="C286" i="1"/>
  <c r="C1281" i="1"/>
  <c r="C1433" i="1"/>
  <c r="C1289" i="1"/>
  <c r="C432" i="1"/>
  <c r="C1440" i="1"/>
  <c r="C1583" i="1"/>
  <c r="C1451" i="1"/>
  <c r="C1017" i="1"/>
  <c r="C1016" i="1"/>
  <c r="C1015" i="1"/>
  <c r="C178" i="1"/>
  <c r="C1292" i="1"/>
  <c r="C20" i="1"/>
  <c r="C676" i="1"/>
  <c r="C345" i="1"/>
  <c r="C1459" i="1"/>
  <c r="C1169" i="1"/>
  <c r="C89" i="1"/>
  <c r="C24" i="1"/>
  <c r="C398" i="1"/>
  <c r="C1409" i="1"/>
  <c r="C412" i="1"/>
  <c r="C1076" i="1"/>
  <c r="C1056" i="1"/>
  <c r="C1630" i="1"/>
  <c r="C559" i="1"/>
  <c r="C241" i="1"/>
  <c r="C344" i="1"/>
  <c r="C555" i="1"/>
  <c r="C1001" i="1"/>
  <c r="C740" i="1"/>
  <c r="C1136" i="1"/>
  <c r="C1687" i="1"/>
  <c r="C1250" i="1"/>
  <c r="C267" i="1"/>
  <c r="C1639" i="1"/>
  <c r="C1705" i="1"/>
  <c r="C809" i="1"/>
  <c r="C26" i="1"/>
  <c r="C595" i="1"/>
  <c r="C756" i="1"/>
  <c r="C1567" i="1"/>
  <c r="C1217" i="1"/>
  <c r="C1077" i="1"/>
  <c r="C1542" i="1"/>
  <c r="C503" i="1"/>
  <c r="C441" i="1"/>
  <c r="C1423" i="1"/>
  <c r="C88" i="1"/>
  <c r="C497" i="1"/>
  <c r="C1053" i="1"/>
  <c r="C753" i="1"/>
  <c r="C741" i="1"/>
  <c r="C1278" i="1"/>
  <c r="C769" i="1"/>
  <c r="C1097" i="1"/>
  <c r="C1031" i="1"/>
  <c r="C1513" i="1"/>
  <c r="C1442" i="1"/>
  <c r="C1374" i="1"/>
  <c r="C490" i="1"/>
  <c r="C675" i="1"/>
  <c r="C290" i="1"/>
  <c r="C717" i="1"/>
  <c r="C998" i="1"/>
  <c r="C719" i="1"/>
  <c r="C770" i="1"/>
  <c r="C1436" i="1"/>
  <c r="C1429" i="1"/>
  <c r="C440" i="1"/>
  <c r="C1444" i="1"/>
  <c r="C731" i="1"/>
  <c r="C348" i="1"/>
  <c r="C1720" i="1"/>
  <c r="C281" i="1"/>
  <c r="C397" i="1"/>
  <c r="C1709" i="1"/>
  <c r="C1708" i="1"/>
  <c r="C427" i="1"/>
  <c r="C426" i="1"/>
  <c r="C433" i="1"/>
  <c r="C1085" i="1"/>
  <c r="C1577" i="1"/>
  <c r="C292" i="1"/>
  <c r="C444" i="1"/>
  <c r="C1239" i="1"/>
  <c r="C1666" i="1"/>
  <c r="C1698" i="1"/>
  <c r="C506" i="1"/>
  <c r="C435" i="1"/>
  <c r="C1004" i="1"/>
  <c r="C1426" i="1"/>
  <c r="C438" i="1"/>
  <c r="C665" i="1"/>
  <c r="C1071" i="1"/>
  <c r="C316" i="1"/>
  <c r="C954" i="1"/>
  <c r="C431" i="1"/>
  <c r="C87" i="1"/>
  <c r="C1373" i="1"/>
  <c r="C796" i="1"/>
  <c r="C813" i="1"/>
  <c r="C1541" i="1"/>
  <c r="C312" i="1"/>
  <c r="C1005" i="1"/>
  <c r="C379" i="1"/>
  <c r="C1474" i="1"/>
  <c r="C1087" i="1"/>
  <c r="C736" i="1"/>
  <c r="C1408" i="1"/>
  <c r="C1407" i="1"/>
  <c r="C235" i="1"/>
  <c r="C1394" i="1"/>
  <c r="C18" i="1"/>
  <c r="C513" i="1"/>
  <c r="C268" i="1"/>
  <c r="C787" i="1"/>
  <c r="C1398" i="1"/>
  <c r="C992" i="1"/>
  <c r="C34" i="1"/>
  <c r="C33" i="1"/>
  <c r="C1208" i="1"/>
  <c r="C16" i="1"/>
  <c r="C1207" i="1"/>
  <c r="C1562" i="1"/>
  <c r="C1082" i="1"/>
  <c r="C10" i="1"/>
  <c r="C726" i="1"/>
  <c r="C1642" i="1"/>
  <c r="C260" i="1"/>
  <c r="C259" i="1"/>
  <c r="C1694" i="1"/>
  <c r="C1540" i="1"/>
  <c r="C1539" i="1"/>
  <c r="C428" i="1"/>
  <c r="C1532" i="1"/>
  <c r="C1162" i="1"/>
  <c r="C399" i="1"/>
  <c r="C829" i="1"/>
  <c r="C725" i="1"/>
  <c r="C724" i="1"/>
  <c r="C841" i="1"/>
  <c r="C25" i="1"/>
  <c r="C865" i="1"/>
  <c r="C929" i="1"/>
  <c r="C831" i="1"/>
  <c r="C1006" i="1"/>
  <c r="C338" i="1"/>
  <c r="C669" i="1"/>
  <c r="C1090" i="1"/>
  <c r="C568" i="1"/>
  <c r="C1161" i="1"/>
  <c r="C364" i="1"/>
  <c r="C818" i="1"/>
  <c r="C781" i="1"/>
  <c r="C808" i="1"/>
  <c r="C1574" i="1"/>
  <c r="C1571" i="1"/>
  <c r="C1301" i="1"/>
  <c r="C573" i="1"/>
  <c r="C422" i="1"/>
  <c r="C403" i="1"/>
  <c r="C784" i="1"/>
  <c r="C15" i="1"/>
  <c r="C263" i="1"/>
  <c r="C1704" i="1"/>
  <c r="C1509" i="1"/>
  <c r="C552" i="1"/>
  <c r="C551" i="1"/>
  <c r="C550" i="1"/>
  <c r="C177" i="1"/>
  <c r="C176" i="1"/>
  <c r="C175" i="1"/>
  <c r="C174" i="1"/>
  <c r="C1014" i="1"/>
  <c r="C919" i="1"/>
  <c r="C1372" i="1"/>
  <c r="C1206" i="1"/>
  <c r="C918" i="1"/>
  <c r="C549" i="1"/>
  <c r="C489" i="1"/>
  <c r="C86" i="1"/>
  <c r="C664" i="1"/>
  <c r="C625" i="1"/>
  <c r="C1613" i="1"/>
  <c r="C117" i="1"/>
  <c r="C116" i="1"/>
  <c r="C115" i="1"/>
  <c r="C548" i="1"/>
  <c r="C488" i="1"/>
  <c r="C487" i="1"/>
  <c r="C317" i="1"/>
  <c r="C547" i="1"/>
  <c r="C624" i="1"/>
  <c r="C1634" i="1"/>
  <c r="C917" i="1"/>
  <c r="C173" i="1"/>
  <c r="C773" i="1"/>
  <c r="C546" i="1"/>
  <c r="C815" i="1"/>
  <c r="C1716" i="1"/>
  <c r="C40" i="1"/>
  <c r="C1160" i="1"/>
  <c r="C916" i="1"/>
  <c r="C716" i="1"/>
  <c r="C1508" i="1"/>
  <c r="C43" i="1"/>
  <c r="C502" i="1"/>
  <c r="C1240" i="1"/>
  <c r="C1397" i="1"/>
  <c r="C172" i="1"/>
  <c r="C129" i="1"/>
  <c r="C1428" i="1"/>
  <c r="C1216" i="1"/>
  <c r="C232" i="1"/>
  <c r="C715" i="1"/>
  <c r="C114" i="1"/>
  <c r="C1507" i="1"/>
  <c r="C915" i="1"/>
  <c r="C231" i="1"/>
  <c r="C1531" i="1"/>
  <c r="C545" i="1"/>
  <c r="C1008" i="1"/>
  <c r="C1215" i="1"/>
  <c r="C1683" i="1"/>
  <c r="C1506" i="1"/>
  <c r="C1576" i="1"/>
  <c r="C1029" i="1"/>
  <c r="C544" i="1"/>
  <c r="C543" i="1"/>
  <c r="C542" i="1"/>
  <c r="C1682" i="1"/>
  <c r="C337" i="1"/>
  <c r="C1612" i="1"/>
  <c r="C1410" i="1"/>
  <c r="C1419" i="1"/>
  <c r="C230" i="1"/>
  <c r="C85" i="1"/>
  <c r="C396" i="1"/>
  <c r="C1538" i="1"/>
  <c r="C273" i="1"/>
  <c r="C969" i="1"/>
  <c r="C1205" i="1"/>
  <c r="C1204" i="1"/>
  <c r="C1203" i="1"/>
  <c r="C714" i="1"/>
  <c r="C755" i="1"/>
  <c r="C1505" i="1"/>
  <c r="C1632" i="1"/>
  <c r="C599" i="1"/>
  <c r="C598" i="1"/>
  <c r="C914" i="1"/>
  <c r="C171" i="1"/>
  <c r="C495" i="1"/>
  <c r="C113" i="1"/>
  <c r="C1631" i="1"/>
  <c r="C384" i="1"/>
  <c r="C663" i="1"/>
  <c r="C1514" i="1"/>
  <c r="C1260" i="1"/>
  <c r="C1202" i="1"/>
  <c r="C315" i="1"/>
  <c r="C913" i="1"/>
  <c r="C1611" i="1"/>
  <c r="C974" i="1"/>
  <c r="C713" i="1"/>
  <c r="C712" i="1"/>
  <c r="C1610" i="1"/>
  <c r="C395" i="1"/>
  <c r="C394" i="1"/>
  <c r="C393" i="1"/>
  <c r="C541" i="1"/>
  <c r="C679" i="1"/>
  <c r="C170" i="1"/>
  <c r="C169" i="1"/>
  <c r="C168" i="1"/>
  <c r="C912" i="1"/>
  <c r="C839" i="1"/>
  <c r="C730" i="1"/>
  <c r="C1352" i="1"/>
  <c r="C229" i="1"/>
  <c r="C1277" i="1"/>
  <c r="C750" i="1"/>
  <c r="C749" i="1"/>
  <c r="C1159" i="1"/>
  <c r="C1158" i="1"/>
  <c r="C540" i="1"/>
  <c r="C539" i="1"/>
  <c r="C228" i="1"/>
  <c r="C84" i="1"/>
  <c r="C1371" i="1"/>
  <c r="C83" i="1"/>
  <c r="C1645" i="1"/>
  <c r="C780" i="1"/>
  <c r="C321" i="1"/>
  <c r="C711" i="1"/>
  <c r="C354" i="1"/>
  <c r="C251" i="1"/>
  <c r="C1622" i="1"/>
  <c r="C1715" i="1"/>
  <c r="C1201" i="1"/>
  <c r="C793" i="1"/>
  <c r="C227" i="1"/>
  <c r="C1455" i="1"/>
  <c r="C1018" i="1"/>
  <c r="C226" i="1"/>
  <c r="C1370" i="1"/>
  <c r="C1504" i="1"/>
  <c r="C1089" i="1"/>
  <c r="C662" i="1"/>
  <c r="C225" i="1"/>
  <c r="C12" i="1"/>
  <c r="C911" i="1"/>
  <c r="C748" i="1"/>
  <c r="C1443" i="1"/>
  <c r="C910" i="1"/>
  <c r="C909" i="1"/>
  <c r="C623" i="1"/>
  <c r="C1477" i="1"/>
  <c r="C383" i="1"/>
  <c r="C1681" i="1"/>
  <c r="C908" i="1"/>
  <c r="C907" i="1"/>
  <c r="C167" i="1"/>
  <c r="C994" i="1"/>
  <c r="C838" i="1"/>
  <c r="C906" i="1"/>
  <c r="C166" i="1"/>
  <c r="C165" i="1"/>
  <c r="C164" i="1"/>
  <c r="C1214" i="1"/>
  <c r="C710" i="1"/>
  <c r="C258" i="1"/>
  <c r="C986" i="1"/>
  <c r="C1393" i="1"/>
  <c r="C622" i="1"/>
  <c r="C82" i="1"/>
  <c r="C1200" i="1"/>
  <c r="C81" i="1"/>
  <c r="C905" i="1"/>
  <c r="C572" i="1"/>
  <c r="C392" i="1"/>
  <c r="C1242" i="1"/>
  <c r="C224" i="1"/>
  <c r="C223" i="1"/>
  <c r="C1157" i="1"/>
  <c r="C343" i="1"/>
  <c r="C245" i="1"/>
  <c r="C112" i="1"/>
  <c r="C621" i="1"/>
  <c r="C620" i="1"/>
  <c r="C661" i="1"/>
  <c r="C1680" i="1"/>
  <c r="C1530" i="1"/>
  <c r="C99" i="1"/>
  <c r="C1529" i="1"/>
  <c r="C1609" i="1"/>
  <c r="C336" i="1"/>
  <c r="C320" i="1"/>
  <c r="C335" i="1"/>
  <c r="C971" i="1"/>
  <c r="C1156" i="1"/>
  <c r="C222" i="1"/>
  <c r="C1503" i="1"/>
  <c r="C1502" i="1"/>
  <c r="C1501" i="1"/>
  <c r="C1450" i="1"/>
  <c r="C221" i="1"/>
  <c r="C1369" i="1"/>
  <c r="C353" i="1"/>
  <c r="C721" i="1"/>
  <c r="C442" i="1"/>
  <c r="C1199" i="1"/>
  <c r="C904" i="1"/>
  <c r="C163" i="1"/>
  <c r="C162" i="1"/>
  <c r="C161" i="1"/>
  <c r="C160" i="1"/>
  <c r="C1245" i="1"/>
  <c r="C220" i="1"/>
  <c r="C1406" i="1"/>
  <c r="C1198" i="1"/>
  <c r="C597" i="1"/>
  <c r="C80" i="1"/>
  <c r="C79" i="1"/>
  <c r="C1644" i="1"/>
  <c r="C1679" i="1"/>
  <c r="C1435" i="1"/>
  <c r="C709" i="1"/>
  <c r="C708" i="1"/>
  <c r="C1537" i="1"/>
  <c r="C1155" i="1"/>
  <c r="C1154" i="1"/>
  <c r="C1153" i="1"/>
  <c r="C996" i="1"/>
  <c r="C903" i="1"/>
  <c r="C902" i="1"/>
  <c r="C901" i="1"/>
  <c r="C1425" i="1"/>
  <c r="C78" i="1"/>
  <c r="C219" i="1"/>
  <c r="C660" i="1"/>
  <c r="C752" i="1"/>
  <c r="C218" i="1"/>
  <c r="C900" i="1"/>
  <c r="C970" i="1"/>
  <c r="C707" i="1"/>
  <c r="C124" i="1"/>
  <c r="C1052" i="1"/>
  <c r="C1351" i="1"/>
  <c r="C1012" i="1"/>
  <c r="C747" i="1"/>
  <c r="C746" i="1"/>
  <c r="C847" i="1"/>
  <c r="C1500" i="1"/>
  <c r="C17" i="1"/>
  <c r="C1693" i="1"/>
  <c r="C1051" i="1"/>
  <c r="C1499" i="1"/>
  <c r="C706" i="1"/>
  <c r="C705" i="1"/>
  <c r="C1070" i="1"/>
  <c r="C567" i="1"/>
  <c r="C434" i="1"/>
  <c r="C932" i="1"/>
  <c r="C991" i="1"/>
  <c r="C1498" i="1"/>
  <c r="C217" i="1"/>
  <c r="C968" i="1"/>
  <c r="C619" i="1"/>
  <c r="C704" i="1"/>
  <c r="C1219" i="1"/>
  <c r="C1636" i="1"/>
  <c r="C703" i="1"/>
  <c r="C538" i="1"/>
  <c r="C1643" i="1"/>
  <c r="C1288" i="1"/>
  <c r="C280" i="1"/>
  <c r="C1471" i="1"/>
  <c r="C1028" i="1"/>
  <c r="C594" i="1"/>
  <c r="C372" i="1"/>
  <c r="C216" i="1"/>
  <c r="C618" i="1"/>
  <c r="C1497" i="1"/>
  <c r="C779" i="1"/>
  <c r="C702" i="1"/>
  <c r="C701" i="1"/>
  <c r="C927" i="1"/>
  <c r="C1197" i="1"/>
  <c r="C1418" i="1"/>
  <c r="C1608" i="1"/>
  <c r="C814" i="1"/>
  <c r="C700" i="1"/>
  <c r="C798" i="1"/>
  <c r="C659" i="1"/>
  <c r="C458" i="1"/>
  <c r="C159" i="1"/>
  <c r="C158" i="1"/>
  <c r="C1019" i="1"/>
  <c r="C157" i="1"/>
  <c r="C1496" i="1"/>
  <c r="C699" i="1"/>
  <c r="C1449" i="1"/>
  <c r="C1196" i="1"/>
  <c r="C1195" i="1"/>
  <c r="C674" i="1"/>
  <c r="C1194" i="1"/>
  <c r="C739" i="1"/>
  <c r="C936" i="1"/>
  <c r="C1213" i="1"/>
  <c r="C1212" i="1"/>
  <c r="C1211" i="1"/>
  <c r="C1210" i="1"/>
  <c r="C899" i="1"/>
  <c r="C898" i="1"/>
  <c r="C897" i="1"/>
  <c r="C362" i="1"/>
  <c r="C617" i="1"/>
  <c r="C616" i="1"/>
  <c r="C850" i="1"/>
  <c r="C215" i="1"/>
  <c r="C1272" i="1"/>
  <c r="C924" i="1"/>
  <c r="C1647" i="1"/>
  <c r="C237" i="1"/>
  <c r="C250" i="1"/>
  <c r="C537" i="1"/>
  <c r="C896" i="1"/>
  <c r="C1466" i="1"/>
  <c r="C319" i="1"/>
  <c r="C1452" i="1"/>
  <c r="C1011" i="1"/>
  <c r="C486" i="1"/>
  <c r="C97" i="1"/>
  <c r="C1697" i="1"/>
  <c r="C698" i="1"/>
  <c r="C615" i="1"/>
  <c r="C835" i="1"/>
  <c r="C843" i="1"/>
  <c r="C895" i="1"/>
  <c r="C1152" i="1"/>
  <c r="C156" i="1"/>
  <c r="C155" i="1"/>
  <c r="C697" i="1"/>
  <c r="C554" i="1"/>
  <c r="C1392" i="1"/>
  <c r="C745" i="1"/>
  <c r="C1527" i="1"/>
  <c r="C1010" i="1"/>
  <c r="C154" i="1"/>
  <c r="C588" i="1"/>
  <c r="C977" i="1"/>
  <c r="C44" i="1"/>
  <c r="C1413" i="1"/>
  <c r="C1020" i="1"/>
  <c r="C1009" i="1"/>
  <c r="C214" i="1"/>
  <c r="C1368" i="1"/>
  <c r="C1448" i="1"/>
  <c r="C771" i="1"/>
  <c r="C401" i="1"/>
  <c r="C983" i="1"/>
  <c r="C729" i="1"/>
  <c r="C1356" i="1"/>
  <c r="C1355" i="1"/>
  <c r="C1354" i="1"/>
  <c r="C77" i="1"/>
  <c r="C1464" i="1"/>
  <c r="C614" i="1"/>
  <c r="C768" i="1"/>
  <c r="C718" i="1"/>
  <c r="C1458" i="1"/>
  <c r="C19" i="1"/>
  <c r="C696" i="1"/>
  <c r="C682" i="1"/>
  <c r="C536" i="1"/>
  <c r="C76" i="1"/>
  <c r="C153" i="1"/>
  <c r="C535" i="1"/>
  <c r="C955" i="1"/>
  <c r="C963" i="1"/>
  <c r="C1607" i="1"/>
  <c r="C75" i="1"/>
  <c r="C1385" i="1"/>
  <c r="C1226" i="1"/>
  <c r="C1565" i="1"/>
  <c r="C1133" i="1"/>
  <c r="C213" i="1"/>
  <c r="C266" i="1"/>
  <c r="C894" i="1"/>
  <c r="C860" i="1"/>
  <c r="C238" i="1"/>
  <c r="C797" i="1"/>
  <c r="C1626" i="1"/>
  <c r="C1678" i="1"/>
  <c r="C1606" i="1"/>
  <c r="C1075" i="1"/>
  <c r="C1271" i="1"/>
  <c r="C400" i="1"/>
  <c r="C359" i="1"/>
  <c r="C1050" i="1"/>
  <c r="C1391" i="1"/>
  <c r="C1495" i="1"/>
  <c r="C1605" i="1"/>
  <c r="C613" i="1"/>
  <c r="C1494" i="1"/>
  <c r="C289" i="1"/>
  <c r="C371" i="1"/>
  <c r="C666" i="1"/>
  <c r="C1493" i="1"/>
  <c r="C269" i="1"/>
  <c r="C1536" i="1"/>
  <c r="C279" i="1"/>
  <c r="C1417" i="1"/>
  <c r="C1248" i="1"/>
  <c r="C391" i="1"/>
  <c r="C212" i="1"/>
  <c r="C1096" i="1"/>
  <c r="C1193" i="1"/>
  <c r="C1093" i="1"/>
  <c r="C310" i="1"/>
  <c r="C309" i="1"/>
  <c r="C308" i="1"/>
  <c r="C307" i="1"/>
  <c r="C118" i="1"/>
  <c r="C534" i="1"/>
  <c r="C792" i="1"/>
  <c r="C352" i="1"/>
  <c r="C762" i="1"/>
  <c r="C455" i="1"/>
  <c r="C533" i="1"/>
  <c r="C893" i="1"/>
  <c r="C658" i="1"/>
  <c r="C892" i="1"/>
  <c r="C1027" i="1"/>
  <c r="C1620" i="1"/>
  <c r="C930" i="1"/>
  <c r="C74" i="1"/>
  <c r="C322" i="1"/>
  <c r="C240" i="1"/>
  <c r="C1585" i="1"/>
  <c r="C1651" i="1"/>
  <c r="C1353" i="1"/>
  <c r="C4" i="1"/>
  <c r="C421" i="1"/>
  <c r="C501" i="1"/>
  <c r="C553" i="1"/>
  <c r="C485" i="1"/>
  <c r="C1345" i="1"/>
  <c r="C657" i="1"/>
  <c r="C1584" i="1"/>
  <c r="C90" i="1"/>
  <c r="C1582" i="1"/>
  <c r="C104" i="1"/>
  <c r="C1151" i="1"/>
  <c r="C9" i="1"/>
  <c r="C656" i="1"/>
  <c r="C891" i="1"/>
  <c r="C655" i="1"/>
  <c r="C695" i="1"/>
  <c r="C1416" i="1"/>
  <c r="C890" i="1"/>
  <c r="C265" i="1"/>
  <c r="C73" i="1"/>
  <c r="C654" i="1"/>
  <c r="C889" i="1"/>
  <c r="C888" i="1"/>
  <c r="C680" i="1"/>
  <c r="C39" i="1"/>
  <c r="C1575" i="1"/>
  <c r="C1049" i="1"/>
  <c r="C1650" i="1"/>
  <c r="C342" i="1"/>
  <c r="C341" i="1"/>
  <c r="C340" i="1"/>
  <c r="C1604" i="1"/>
  <c r="C339" i="1"/>
  <c r="C786" i="1"/>
  <c r="C785" i="1"/>
  <c r="C863" i="1"/>
  <c r="C1303" i="1"/>
  <c r="C1638" i="1"/>
  <c r="C596" i="1"/>
  <c r="C958" i="1"/>
  <c r="C484" i="1"/>
  <c r="C1062" i="1"/>
  <c r="C494" i="1"/>
  <c r="C590" i="1"/>
  <c r="C978" i="1"/>
  <c r="C91" i="1"/>
  <c r="C483" i="1"/>
  <c r="C482" i="1"/>
  <c r="C481" i="1"/>
  <c r="C846" i="1"/>
  <c r="C390" i="1"/>
  <c r="C1003" i="1"/>
  <c r="C1192" i="1"/>
  <c r="C467" i="1"/>
  <c r="C334" i="1"/>
  <c r="C72" i="1"/>
  <c r="C71" i="1"/>
  <c r="C70" i="1"/>
  <c r="C532" i="1"/>
  <c r="C69" i="1"/>
  <c r="C68" i="1"/>
  <c r="C67" i="1"/>
  <c r="C46" i="1"/>
  <c r="C820" i="1"/>
  <c r="C827" i="1"/>
  <c r="C1400" i="1"/>
  <c r="C694" i="1"/>
  <c r="C1091" i="1"/>
  <c r="C211" i="1"/>
  <c r="C1390" i="1"/>
  <c r="C152" i="1"/>
  <c r="C355" i="1"/>
  <c r="C1092" i="1"/>
  <c r="C967" i="1"/>
  <c r="C318" i="1"/>
  <c r="C500" i="1"/>
  <c r="C96" i="1"/>
  <c r="C95" i="1"/>
  <c r="C1588" i="1"/>
  <c r="C94" i="1"/>
  <c r="C93" i="1"/>
  <c r="C1266" i="1"/>
  <c r="C1080" i="1"/>
  <c r="C210" i="1"/>
  <c r="C209" i="1"/>
  <c r="C1264" i="1"/>
  <c r="C42" i="1"/>
  <c r="C864" i="1"/>
  <c r="C816" i="1"/>
  <c r="C887" i="1"/>
  <c r="C886" i="1"/>
  <c r="C1048" i="1"/>
  <c r="C885" i="1"/>
  <c r="C480" i="1"/>
  <c r="C884" i="1"/>
  <c r="C883" i="1"/>
  <c r="C882" i="1"/>
  <c r="C881" i="1"/>
  <c r="C880" i="1"/>
  <c r="C982" i="1"/>
  <c r="C1047" i="1"/>
  <c r="C879" i="1"/>
  <c r="C878" i="1"/>
  <c r="C877" i="1"/>
  <c r="C876" i="1"/>
  <c r="C653" i="1"/>
  <c r="C778" i="1"/>
  <c r="C652" i="1"/>
  <c r="C990" i="1"/>
  <c r="C651" i="1"/>
  <c r="C1441" i="1"/>
  <c r="C314" i="1"/>
  <c r="C1086" i="1"/>
  <c r="C966" i="1"/>
  <c r="C757" i="1"/>
  <c r="C957" i="1"/>
  <c r="C1677" i="1"/>
  <c r="C767" i="1"/>
  <c r="C875" i="1"/>
  <c r="C766" i="1"/>
  <c r="C874" i="1"/>
  <c r="C873" i="1"/>
  <c r="C872" i="1"/>
  <c r="C830" i="1"/>
  <c r="C993" i="1"/>
  <c r="C871" i="1"/>
  <c r="C870" i="1"/>
  <c r="C869" i="1"/>
  <c r="C1002" i="1"/>
  <c r="C868" i="1"/>
  <c r="C837" i="1"/>
  <c r="C1063" i="1"/>
  <c r="C1389" i="1"/>
  <c r="C848" i="1"/>
  <c r="C650" i="1"/>
  <c r="C1228" i="1"/>
  <c r="C122" i="1"/>
  <c r="C1439" i="1"/>
  <c r="C284" i="1"/>
  <c r="C765" i="1"/>
  <c r="C282" i="1"/>
  <c r="C728" i="1"/>
  <c r="C727" i="1"/>
  <c r="C1460" i="1"/>
  <c r="C1492" i="1"/>
  <c r="C989" i="1"/>
  <c r="C208" i="1"/>
  <c r="C378" i="1"/>
  <c r="C1132" i="1"/>
  <c r="C531" i="1"/>
  <c r="C151" i="1"/>
  <c r="C27" i="1"/>
  <c r="C14" i="1"/>
  <c r="C510" i="1"/>
  <c r="C66" i="1"/>
  <c r="C1191" i="1"/>
  <c r="C207" i="1"/>
  <c r="C1190" i="1"/>
  <c r="C206" i="1"/>
  <c r="C1150" i="1"/>
  <c r="C1041" i="1"/>
  <c r="C1676" i="1"/>
  <c r="C1675" i="1"/>
  <c r="C965" i="1"/>
  <c r="C270" i="1"/>
  <c r="C1603" i="1"/>
  <c r="C460" i="1"/>
  <c r="C111" i="1"/>
  <c r="C389" i="1"/>
  <c r="C720" i="1"/>
  <c r="C1640" i="1"/>
  <c r="C923" i="1"/>
  <c r="C1073" i="1"/>
  <c r="C530" i="1"/>
  <c r="C205" i="1"/>
  <c r="C1602" i="1"/>
  <c r="C1491" i="1"/>
  <c r="C1490" i="1"/>
  <c r="C1149" i="1"/>
  <c r="C377" i="1"/>
  <c r="C529" i="1"/>
  <c r="C150" i="1"/>
  <c r="C557" i="1"/>
  <c r="C764" i="1"/>
  <c r="C1714" i="1"/>
  <c r="C1713" i="1"/>
  <c r="C38" i="1"/>
  <c r="C37" i="1"/>
  <c r="C1026" i="1"/>
  <c r="C1025" i="1"/>
  <c r="C1032" i="1"/>
  <c r="C121" i="1"/>
  <c r="C278" i="1"/>
  <c r="C277" i="1"/>
  <c r="C276" i="1"/>
  <c r="C275" i="1"/>
  <c r="C110" i="1"/>
  <c r="C109" i="1"/>
  <c r="C108" i="1"/>
  <c r="C285" i="1"/>
  <c r="C107" i="1"/>
  <c r="C744" i="1"/>
  <c r="C272" i="1"/>
  <c r="C274" i="1"/>
  <c r="C734" i="1"/>
  <c r="C997" i="1"/>
  <c r="C1601" i="1"/>
  <c r="C430" i="1"/>
  <c r="C429" i="1"/>
  <c r="C204" i="1"/>
  <c r="C203" i="1"/>
  <c r="C1463" i="1"/>
  <c r="C928" i="1"/>
  <c r="C101" i="1"/>
  <c r="C456" i="1"/>
  <c r="C264" i="1"/>
  <c r="C558" i="1"/>
  <c r="C1227" i="1"/>
  <c r="C1586" i="1"/>
  <c r="C351" i="1"/>
  <c r="C350" i="1"/>
  <c r="C349" i="1"/>
  <c r="C737" i="1"/>
  <c r="C1270" i="1"/>
  <c r="C1405" i="1"/>
  <c r="C1476" i="1"/>
  <c r="C1475" i="1"/>
  <c r="C1079" i="1"/>
  <c r="C1263" i="1"/>
  <c r="C1453" i="1"/>
  <c r="C202" i="1"/>
  <c r="C201" i="1"/>
  <c r="C1674" i="1"/>
  <c r="C200" i="1"/>
  <c r="C199" i="1"/>
  <c r="C1189" i="1"/>
  <c r="C198" i="1"/>
  <c r="C197" i="1"/>
  <c r="C196" i="1"/>
  <c r="C1269" i="1"/>
  <c r="C195" i="1"/>
  <c r="C194" i="1"/>
  <c r="C193" i="1"/>
  <c r="C65" i="1"/>
  <c r="C192" i="1"/>
  <c r="C1600" i="1"/>
  <c r="C191" i="1"/>
  <c r="C1654" i="1"/>
  <c r="C190" i="1"/>
  <c r="C189" i="1"/>
  <c r="C1526" i="1"/>
  <c r="C188" i="1"/>
  <c r="C1656" i="1"/>
  <c r="C246" i="1"/>
  <c r="C187" i="1"/>
  <c r="C186" i="1"/>
  <c r="C185" i="1"/>
  <c r="C370" i="1"/>
  <c r="C649" i="1"/>
  <c r="C1061" i="1"/>
  <c r="C1469" i="1"/>
  <c r="C479" i="1"/>
  <c r="C1472" i="1"/>
  <c r="C1222" i="1"/>
  <c r="C1221" i="1"/>
  <c r="C678" i="1"/>
  <c r="C1040" i="1"/>
  <c r="C1039" i="1"/>
  <c r="C1038" i="1"/>
  <c r="C1037" i="1"/>
  <c r="C1036" i="1"/>
  <c r="C1035" i="1"/>
  <c r="C1034" i="1"/>
  <c r="C1033" i="1"/>
  <c r="C591" i="1"/>
  <c r="C1282" i="1"/>
  <c r="C1627" i="1"/>
  <c r="C7" i="1"/>
  <c r="C360" i="1"/>
  <c r="C985" i="1"/>
  <c r="C28" i="1"/>
  <c r="C1229" i="1"/>
  <c r="C1696" i="1"/>
  <c r="C811" i="1"/>
  <c r="C810" i="1"/>
  <c r="C964" i="1"/>
  <c r="C1719" i="1"/>
  <c r="C1718" i="1"/>
  <c r="C388" i="1"/>
  <c r="C499" i="1"/>
  <c r="C478" i="1"/>
  <c r="C1424" i="1"/>
  <c r="C477" i="1"/>
  <c r="C64" i="1"/>
  <c r="C424" i="1"/>
  <c r="C476" i="1"/>
  <c r="C1437" i="1"/>
  <c r="C381" i="1"/>
  <c r="C493" i="1"/>
  <c r="C149" i="1"/>
  <c r="C648" i="1"/>
  <c r="C976" i="1"/>
  <c r="C647" i="1"/>
  <c r="C1024" i="1"/>
  <c r="C646" i="1"/>
  <c r="C645" i="1"/>
  <c r="C644" i="1"/>
  <c r="C643" i="1"/>
  <c r="C642" i="1"/>
  <c r="C641" i="1"/>
  <c r="C640" i="1"/>
  <c r="C639" i="1"/>
  <c r="C638" i="1"/>
  <c r="C637" i="1"/>
  <c r="C636" i="1"/>
  <c r="C819" i="1"/>
  <c r="C635" i="1"/>
  <c r="C634" i="1"/>
  <c r="C867" i="1"/>
  <c r="C693" i="1"/>
  <c r="C633" i="1"/>
  <c r="C632" i="1"/>
  <c r="C631" i="1"/>
  <c r="C630" i="1"/>
  <c r="C629" i="1"/>
  <c r="C628" i="1"/>
  <c r="C743" i="1"/>
  <c r="C184" i="1"/>
  <c r="C677" i="1"/>
  <c r="C1489" i="1"/>
  <c r="C1488" i="1"/>
  <c r="C1487" i="1"/>
  <c r="C1649" i="1"/>
  <c r="C1486" i="1"/>
  <c r="C561" i="1"/>
  <c r="C975" i="1"/>
  <c r="C1148" i="1"/>
  <c r="C1220" i="1"/>
  <c r="C492" i="1"/>
  <c r="C1599" i="1"/>
  <c r="C1598" i="1"/>
  <c r="C1597" i="1"/>
  <c r="C1596" i="1"/>
  <c r="C1595" i="1"/>
  <c r="C1594" i="1"/>
  <c r="C1593" i="1"/>
  <c r="C1592" i="1"/>
  <c r="C1659" i="1"/>
  <c r="C1591" i="1"/>
  <c r="C1618" i="1"/>
  <c r="C63" i="1"/>
  <c r="C45" i="1"/>
  <c r="C183" i="1"/>
  <c r="C62" i="1"/>
  <c r="C61" i="1"/>
  <c r="C60" i="1"/>
  <c r="C1590" i="1"/>
  <c r="C59" i="1"/>
  <c r="C58" i="1"/>
  <c r="C57" i="1"/>
  <c r="C56" i="1"/>
  <c r="C182" i="1"/>
  <c r="C1673" i="1"/>
  <c r="C55" i="1"/>
  <c r="C257" i="1"/>
  <c r="C54" i="1"/>
  <c r="C53" i="1"/>
  <c r="C52" i="1"/>
  <c r="C1637" i="1"/>
  <c r="C1265" i="1"/>
  <c r="C528" i="1"/>
  <c r="C1261" i="1"/>
  <c r="C1262" i="1"/>
  <c r="C1589" i="1"/>
  <c r="C51" i="1"/>
  <c r="C692" i="1"/>
  <c r="C691" i="1"/>
  <c r="C690" i="1"/>
  <c r="C1367" i="1"/>
  <c r="C859" i="1"/>
  <c r="C956" i="1"/>
  <c r="C1366" i="1"/>
  <c r="C1046" i="1"/>
  <c r="C689" i="1"/>
  <c r="C688" i="1"/>
  <c r="C687" i="1"/>
  <c r="C828" i="1"/>
  <c r="C627" i="1"/>
  <c r="C686" i="1"/>
  <c r="C685" i="1"/>
  <c r="C684" i="1"/>
  <c r="C1365" i="1"/>
  <c r="C1364" i="1"/>
  <c r="C683" i="1"/>
  <c r="C795" i="1"/>
  <c r="C1446" i="1"/>
  <c r="C794" i="1"/>
  <c r="C511" i="1"/>
  <c r="C409" i="1"/>
  <c r="C1672" i="1"/>
  <c r="C1671" i="1"/>
  <c r="C1670" i="1"/>
  <c r="C1669" i="1"/>
  <c r="C1668" i="1"/>
  <c r="C106" i="1"/>
  <c r="C1147" i="1"/>
  <c r="C1146" i="1"/>
  <c r="C1145" i="1"/>
  <c r="C181" i="1"/>
  <c r="C1712" i="1"/>
  <c r="C1711" i="1"/>
  <c r="C1710" i="1"/>
  <c r="C1144" i="1"/>
  <c r="C1143" i="1"/>
  <c r="C1142" i="1"/>
  <c r="C612" i="1"/>
  <c r="C611" i="1"/>
  <c r="C610" i="1"/>
  <c r="C609" i="1"/>
  <c r="C926" i="1"/>
  <c r="C608" i="1"/>
  <c r="C607" i="1"/>
  <c r="C606" i="1"/>
  <c r="C754" i="1"/>
  <c r="C605" i="1"/>
  <c r="C604" i="1"/>
  <c r="C603" i="1"/>
  <c r="C589" i="1"/>
  <c r="C1013" i="1"/>
  <c r="C602" i="1"/>
  <c r="C601" i="1"/>
  <c r="C1485" i="1"/>
  <c r="C1484" i="1"/>
  <c r="C1483" i="1"/>
  <c r="C1535" i="1"/>
  <c r="C1482" i="1"/>
  <c r="C1363" i="1"/>
  <c r="C1481" i="1"/>
  <c r="C1480" i="1"/>
  <c r="C1479" i="1"/>
  <c r="C472" i="1"/>
  <c r="C48" i="1"/>
  <c r="C47" i="1"/>
  <c r="C735" i="1"/>
  <c r="C311" i="1"/>
  <c r="C959" i="1"/>
  <c r="C1171" i="1"/>
  <c r="C50" i="1"/>
  <c r="C760" i="1"/>
  <c r="C376" i="1"/>
  <c r="C375" i="1"/>
  <c r="C374" i="1"/>
  <c r="C527" i="1"/>
  <c r="C759" i="1"/>
  <c r="C758" i="1"/>
  <c r="C123" i="1"/>
  <c r="C1653" i="1"/>
  <c r="C1652" i="1"/>
  <c r="C1457" i="1"/>
  <c r="C387" i="1"/>
  <c r="C386" i="1"/>
  <c r="C385" i="1"/>
  <c r="C1268" i="1"/>
  <c r="C1267" i="1"/>
  <c r="C1403" i="1"/>
  <c r="C496" i="1"/>
  <c r="C148" i="1"/>
  <c r="C29" i="1"/>
  <c r="C147" i="1"/>
  <c r="C146" i="1"/>
  <c r="C145" i="1"/>
  <c r="C1246" i="1"/>
  <c r="C144" i="1"/>
  <c r="C1422" i="1"/>
  <c r="C180" i="1"/>
  <c r="C143" i="1"/>
  <c r="C142" i="1"/>
  <c r="C141" i="1"/>
  <c r="C140" i="1"/>
  <c r="C139" i="1"/>
  <c r="C138" i="1"/>
  <c r="C137" i="1"/>
  <c r="C136" i="1"/>
  <c r="C135" i="1"/>
  <c r="C134" i="1"/>
  <c r="C244" i="1"/>
  <c r="C133" i="1"/>
  <c r="C132" i="1"/>
  <c r="C131" i="1"/>
  <c r="C130" i="1"/>
  <c r="C1573" i="1"/>
  <c r="C128" i="1"/>
  <c r="C791" i="1"/>
  <c r="C1404" i="1"/>
  <c r="C436" i="1"/>
  <c r="C1000" i="1"/>
  <c r="C1628" i="1"/>
  <c r="C369" i="1"/>
  <c r="C368" i="1"/>
  <c r="C367" i="1"/>
  <c r="C1456" i="1"/>
  <c r="C366" i="1"/>
  <c r="C365" i="1"/>
  <c r="C1699" i="1"/>
  <c r="C1044" i="1"/>
  <c r="C249" i="1"/>
  <c r="C179" i="1"/>
  <c r="C1388" i="1"/>
  <c r="C526" i="1"/>
  <c r="C525" i="1"/>
  <c r="C524" i="1"/>
  <c r="C523" i="1"/>
  <c r="C522" i="1"/>
  <c r="C521" i="1"/>
  <c r="C520" i="1"/>
  <c r="C519" i="1"/>
  <c r="C518" i="1"/>
  <c r="C517" i="1"/>
  <c r="C1350" i="1"/>
  <c r="C1349" i="1"/>
  <c r="C1358" i="1"/>
  <c r="C1357" i="1"/>
  <c r="C1432" i="1"/>
  <c r="C475" i="1"/>
  <c r="C474" i="1"/>
  <c r="C313" i="1"/>
  <c r="C248" i="1"/>
  <c r="C1218" i="1"/>
  <c r="C1023" i="1"/>
  <c r="C1396" i="1"/>
  <c r="C333" i="1"/>
  <c r="C332" i="1"/>
  <c r="C775" i="1"/>
  <c r="C790" i="1"/>
  <c r="C789" i="1"/>
  <c r="C358" i="1"/>
  <c r="C357" i="1"/>
  <c r="C593" i="1"/>
  <c r="C988" i="1"/>
  <c r="C8" i="1"/>
  <c r="C32" i="1"/>
  <c r="C31" i="1"/>
  <c r="C1291" i="1"/>
  <c r="C1022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362" i="1"/>
  <c r="C1361" i="1"/>
  <c r="C1360" i="1"/>
  <c r="C1359" i="1"/>
  <c r="C380" i="1"/>
  <c r="C1543" i="1"/>
  <c r="C1045" i="1"/>
  <c r="C866" i="1"/>
  <c r="C498" i="1"/>
  <c r="C473" i="1"/>
  <c r="C763" i="1"/>
  <c r="C49" i="1"/>
  <c r="C1411" i="1"/>
  <c r="C565" i="1"/>
  <c r="C564" i="1"/>
  <c r="C126" i="1"/>
  <c r="C105" i="1"/>
  <c r="C1276" i="1"/>
  <c r="C1275" i="1"/>
  <c r="C987" i="1"/>
  <c r="C1274" i="1"/>
  <c r="C1273" i="1"/>
  <c r="C862" i="1"/>
  <c r="C861" i="1"/>
  <c r="C1168" i="1"/>
  <c r="C256" i="1"/>
  <c r="C127" i="1"/>
  <c r="C1298" i="1"/>
  <c r="C962" i="1"/>
  <c r="C980" i="1"/>
  <c r="C255" i="1"/>
  <c r="C254" i="1"/>
  <c r="C119" i="1"/>
  <c r="C356" i="1"/>
  <c r="C1692" i="1"/>
  <c r="C1691" i="1"/>
  <c r="C1534" i="1"/>
  <c r="C1533" i="1"/>
  <c r="C347" i="1"/>
  <c r="C346" i="1"/>
  <c r="C1633" i="1"/>
  <c r="C1287" i="1"/>
  <c r="C1412" i="1"/>
  <c r="C508" i="1"/>
  <c r="C1421" i="1"/>
  <c r="C776" i="1"/>
  <c r="C1420" i="1"/>
  <c r="C1346" i="1"/>
  <c r="C1134" i="1"/>
  <c r="C1431" i="1"/>
  <c r="C11" i="1"/>
  <c r="C125" i="1"/>
  <c r="C1528" i="1"/>
  <c r="C1470" i="1"/>
  <c r="C849" i="1"/>
  <c r="C1300" i="1"/>
  <c r="C491" i="1"/>
  <c r="C1280" i="1"/>
  <c r="C1223" i="1"/>
  <c r="C410" i="1"/>
  <c r="C1454" i="1"/>
  <c r="C1140" i="1"/>
  <c r="C1623" i="1"/>
  <c r="C995" i="1"/>
  <c r="C1166" i="1"/>
  <c r="C1081" i="1"/>
  <c r="C1658" i="1"/>
  <c r="C732" i="1"/>
  <c r="C592" i="1"/>
  <c r="C1241" i="1"/>
  <c r="C1566" i="1"/>
  <c r="C852" i="1"/>
  <c r="C512" i="1"/>
  <c r="C751" i="1"/>
  <c r="C836" i="1"/>
  <c r="C723" i="1"/>
  <c r="C1703" i="1"/>
  <c r="C1629" i="1"/>
  <c r="C439" i="1"/>
  <c r="C961" i="1"/>
  <c r="C845" i="1"/>
  <c r="C1286" i="1"/>
  <c r="C120" i="1"/>
  <c r="C305" i="1"/>
  <c r="C1165" i="1"/>
  <c r="C331" i="1"/>
  <c r="C600" i="1"/>
  <c r="C330" i="1"/>
  <c r="C382" i="1"/>
  <c r="C6" i="1"/>
  <c r="C247" i="1"/>
  <c r="C1095" i="1"/>
  <c r="C271" i="1"/>
  <c r="C509" i="1"/>
  <c r="C1084" i="1"/>
  <c r="C1667" i="1"/>
  <c r="C1657" i="1"/>
  <c r="C1635" i="1"/>
  <c r="C1664" i="1"/>
  <c r="C1285" i="1"/>
  <c r="C1512" i="1"/>
  <c r="C1094" i="1"/>
  <c r="C1524" i="1"/>
  <c r="C1042" i="1"/>
  <c r="C1663" i="1"/>
  <c r="C329" i="1"/>
  <c r="C328" i="1"/>
  <c r="C327" i="1"/>
  <c r="C326" i="1"/>
  <c r="C325" i="1"/>
  <c r="C324" i="1"/>
  <c r="C323" i="1"/>
  <c r="C1561" i="1"/>
  <c r="C824" i="1"/>
  <c r="C1007" i="1"/>
  <c r="C1462" i="1"/>
  <c r="C1625" i="1"/>
  <c r="C1624" i="1"/>
  <c r="C35" i="1"/>
  <c r="C566" i="1"/>
  <c r="C1387" i="1"/>
  <c r="C361" i="1"/>
  <c r="C1468" i="1"/>
  <c r="C1467" i="1"/>
  <c r="C774" i="1"/>
  <c r="C1641" i="1"/>
  <c r="C981" i="1"/>
  <c r="C673" i="1"/>
  <c r="C1648" i="1"/>
  <c r="C587" i="1"/>
  <c r="C1170" i="1"/>
  <c r="C960" i="1"/>
  <c r="C92" i="1"/>
  <c r="C825" i="1"/>
  <c r="C1069" i="1"/>
  <c r="C1059" i="1"/>
  <c r="C973" i="1"/>
  <c r="C1430" i="1"/>
  <c r="C1225" i="1"/>
  <c r="C1478" i="1"/>
  <c r="C1347" i="1"/>
  <c r="C733" i="1"/>
  <c r="C1055" i="1"/>
  <c r="C373" i="1"/>
  <c r="C851" i="1"/>
  <c r="C672" i="1"/>
  <c r="C671" i="1"/>
  <c r="C934" i="1"/>
  <c r="C1284" i="1"/>
  <c r="C1283" i="1"/>
  <c r="C1465" i="1"/>
  <c r="C933" i="1"/>
  <c r="C738" i="1"/>
  <c r="C243" i="1"/>
  <c r="C242" i="1"/>
  <c r="C236" i="1"/>
  <c r="C252" i="1"/>
  <c r="C562" i="1"/>
  <c r="C507" i="1"/>
  <c r="C777" i="1"/>
  <c r="C1646" i="1"/>
  <c r="C844" i="1"/>
  <c r="C1299" i="1"/>
  <c r="C670" i="1"/>
  <c r="C1021" i="1"/>
  <c r="C239" i="1"/>
  <c r="C1399" i="1"/>
  <c r="C457" i="1"/>
  <c r="C1447" i="1"/>
  <c r="C1662" i="1"/>
  <c r="C1661" i="1"/>
  <c r="C1386" i="1"/>
  <c r="C935" i="1"/>
  <c r="C1030" i="1"/>
  <c r="C1224" i="1"/>
  <c r="C812" i="1"/>
  <c r="C443" i="1"/>
  <c r="C1445" i="1"/>
  <c r="C234" i="1"/>
  <c r="C41" i="1"/>
  <c r="C463" i="1"/>
  <c r="C402" i="1"/>
  <c r="C722" i="1"/>
  <c r="C1256" i="1"/>
  <c r="C102" i="1"/>
  <c r="C1523" i="1"/>
  <c r="C925" i="1"/>
  <c r="C1621" i="1"/>
  <c r="C1660" i="1"/>
  <c r="C103" i="1"/>
  <c r="C1415" i="1"/>
  <c r="C461" i="1"/>
  <c r="C466" i="1"/>
  <c r="C465" i="1"/>
  <c r="C464" i="1"/>
  <c r="C1587" i="1"/>
  <c r="C13" i="1"/>
  <c r="C1244" i="1"/>
  <c r="C36" i="1"/>
  <c r="C1525" i="1"/>
  <c r="C822" i="1"/>
  <c r="C1072" i="1"/>
  <c r="C287" i="1"/>
  <c r="C291" i="1"/>
  <c r="C514" i="1"/>
  <c r="C1290" i="1"/>
  <c r="C1434" i="1"/>
  <c r="C459" i="1"/>
  <c r="C5" i="1"/>
  <c r="C1619" i="1"/>
  <c r="C288" i="1"/>
  <c r="C253" i="1"/>
  <c r="C283" i="1"/>
  <c r="C1083" i="1"/>
  <c r="C681" i="1"/>
  <c r="C423" i="1"/>
  <c r="C823" i="1"/>
  <c r="C999" i="1"/>
  <c r="C834" i="1"/>
</calcChain>
</file>

<file path=xl/sharedStrings.xml><?xml version="1.0" encoding="utf-8"?>
<sst xmlns="http://schemas.openxmlformats.org/spreadsheetml/2006/main" count="5426" uniqueCount="2780">
  <si>
    <t>岩本　泰行</t>
  </si>
  <si>
    <t>内科、心療内科</t>
  </si>
  <si>
    <t>尾木　兵衛</t>
  </si>
  <si>
    <t>氏名</t>
  </si>
  <si>
    <t>井上　敏明</t>
  </si>
  <si>
    <t>安芸高田市吉田町吉田770</t>
  </si>
  <si>
    <t>皿田　勝久</t>
  </si>
  <si>
    <t>神垣　充宏</t>
  </si>
  <si>
    <t>酒井　伊勢子</t>
  </si>
  <si>
    <t>三谷　納</t>
  </si>
  <si>
    <t>くさか整形外科</t>
  </si>
  <si>
    <t>医療法人社団堀内医院</t>
  </si>
  <si>
    <t>木村　誠一郎</t>
  </si>
  <si>
    <t>串畑　重行</t>
  </si>
  <si>
    <t>木下　陽</t>
  </si>
  <si>
    <t>曽根　隆志</t>
  </si>
  <si>
    <t>里本　一剛</t>
  </si>
  <si>
    <t>勤務先名称</t>
  </si>
  <si>
    <t>勤務先住所</t>
  </si>
  <si>
    <t>医療法人徹慈会　春日クリニック</t>
  </si>
  <si>
    <t>土本　正治</t>
  </si>
  <si>
    <t>則松　知章</t>
  </si>
  <si>
    <t>濵口　直樹</t>
  </si>
  <si>
    <t>森近　茂</t>
  </si>
  <si>
    <t>医療法人社団藤崎眼科</t>
  </si>
  <si>
    <t>脇　千明</t>
  </si>
  <si>
    <t>豊田　紳敬</t>
  </si>
  <si>
    <t>医療法人まが医院</t>
  </si>
  <si>
    <t>甲状腺外科</t>
  </si>
  <si>
    <t>髙野　政彦</t>
  </si>
  <si>
    <t>内科</t>
  </si>
  <si>
    <t>医療法人智永会ファミリークリニック森のくまさん</t>
  </si>
  <si>
    <t>社会医療法人里仁会　白龍湖クリニック</t>
  </si>
  <si>
    <t>杉原　雄三</t>
  </si>
  <si>
    <t>高路　修</t>
  </si>
  <si>
    <t>濵中　喜晴</t>
  </si>
  <si>
    <t>担当診療科目名</t>
  </si>
  <si>
    <t>内科、胃腸科、外科</t>
  </si>
  <si>
    <t>高場　敦久</t>
  </si>
  <si>
    <t>岩橋　充啓</t>
  </si>
  <si>
    <t>医療法人社団敬明会佐藤胃腸科医院</t>
  </si>
  <si>
    <t>内科、小児科</t>
  </si>
  <si>
    <t>中畠　千恵子</t>
  </si>
  <si>
    <t>産婦人科、女性内科</t>
  </si>
  <si>
    <t>心療内科、神経内科、脳神経外科</t>
  </si>
  <si>
    <t>守屋　尚</t>
  </si>
  <si>
    <t>角南　博</t>
  </si>
  <si>
    <t>間賀　俊朗</t>
  </si>
  <si>
    <t>内科、アレルギー科、リウマチ科、小児科、腎臓内科、透析内科（人工透析）</t>
  </si>
  <si>
    <t>桐林　慶</t>
  </si>
  <si>
    <t>医療法人社団さゆり会向井内科・訪問歯科クリニック</t>
  </si>
  <si>
    <t>宍戸　孝好</t>
  </si>
  <si>
    <t>むつかど内科呼吸器科</t>
  </si>
  <si>
    <t>藤解　邦生</t>
  </si>
  <si>
    <t>医療法人翠聖会小林内科クリニック</t>
  </si>
  <si>
    <t>豊田　康嗣</t>
  </si>
  <si>
    <t>安芸高田市吉田町吉田3666</t>
  </si>
  <si>
    <t>井野口病院</t>
  </si>
  <si>
    <t>産婦人科</t>
  </si>
  <si>
    <t>櫻田　和之</t>
  </si>
  <si>
    <t>福原　達磨</t>
  </si>
  <si>
    <t>まるやまホームクリニック</t>
  </si>
  <si>
    <t>大隣　辰哉</t>
  </si>
  <si>
    <t>村木　剛</t>
  </si>
  <si>
    <t>姫野　泰雄</t>
  </si>
  <si>
    <t>福田　純男</t>
  </si>
  <si>
    <t>湯川　修</t>
  </si>
  <si>
    <t>皮膚科</t>
  </si>
  <si>
    <t>定地　茂雄</t>
  </si>
  <si>
    <t>福山市神辺町川南1120</t>
  </si>
  <si>
    <t>内科、放射線科、消化器内科</t>
  </si>
  <si>
    <t>瀬尾　泰雄</t>
  </si>
  <si>
    <t>南　順一</t>
  </si>
  <si>
    <t>内科、胃腸科、小児科</t>
  </si>
  <si>
    <t>川真田　修</t>
  </si>
  <si>
    <t>医療法人社団生康会谷本メディカルクリニック</t>
  </si>
  <si>
    <t>尾道市因島土生町2021</t>
  </si>
  <si>
    <t>甲斐　信生</t>
  </si>
  <si>
    <t>東広島市西条町吉行2214</t>
  </si>
  <si>
    <t>神経内科</t>
  </si>
  <si>
    <t>西条心療クリニック</t>
  </si>
  <si>
    <t>野本　佳葉子</t>
  </si>
  <si>
    <t>奥　純一</t>
  </si>
  <si>
    <t>岩田　和宏</t>
  </si>
  <si>
    <t>医療法人社団平井外科胃腸科医院</t>
  </si>
  <si>
    <t>内科、呼吸器科、消化器科、循環器科、放射線科</t>
  </si>
  <si>
    <t>内科、外科、胃腸内科、肛門外科</t>
  </si>
  <si>
    <t>いわた耳鼻咽喉科クリニック</t>
  </si>
  <si>
    <t>耳鼻いんこう科</t>
  </si>
  <si>
    <t>瀧川　泰</t>
  </si>
  <si>
    <t>加藤　至</t>
  </si>
  <si>
    <t>アレルギー科、形成外科、皮膚科</t>
  </si>
  <si>
    <t>石川　博基</t>
  </si>
  <si>
    <t>医療法人廿日市松本クリニック</t>
  </si>
  <si>
    <t>庄原市西城町中野1339</t>
  </si>
  <si>
    <t>石川医院</t>
  </si>
  <si>
    <t>沖井　一哉</t>
  </si>
  <si>
    <t>舩越　俊輔</t>
  </si>
  <si>
    <t>神経内科、リハビリテーション科、放射線科、消化器内科、肝臓内科、糖尿病内科、呼吸器内科、心臓・循環器内科，膵臓・胆嚢内科，胃腸・内視鏡内科，脳神経内科，</t>
  </si>
  <si>
    <t>西原　伸治</t>
  </si>
  <si>
    <t>医療法人わかみやメンタルクリニック</t>
  </si>
  <si>
    <t>山田整形外科医院</t>
  </si>
  <si>
    <t>土手　正信</t>
  </si>
  <si>
    <t>整形外科、リハビリテーション科</t>
  </si>
  <si>
    <t>小児科</t>
  </si>
  <si>
    <t>内科、呼吸器科、糖尿病内科</t>
  </si>
  <si>
    <t>内科、胃腸内科、消化器内科</t>
  </si>
  <si>
    <t>沼南医院</t>
  </si>
  <si>
    <t>医療法人敬友会藤原脳神経外科クリニック</t>
  </si>
  <si>
    <t>山田　貴弘</t>
  </si>
  <si>
    <t>かんなべ整形外科</t>
  </si>
  <si>
    <t>末岡　愛実</t>
  </si>
  <si>
    <t>内科、消化器内科、循環器内科、呼吸器内科</t>
  </si>
  <si>
    <t>内科、消化器科、外科</t>
  </si>
  <si>
    <t>濱﨑　貴彦</t>
  </si>
  <si>
    <t>東広島市西条町寺家513</t>
  </si>
  <si>
    <t>村田　道夫</t>
  </si>
  <si>
    <t>奥野　府夫</t>
  </si>
  <si>
    <t>医療法人くすおか整形外科クリニック</t>
  </si>
  <si>
    <t>松本　勇次</t>
  </si>
  <si>
    <t>長　誠司</t>
  </si>
  <si>
    <t>森田　竹千代</t>
  </si>
  <si>
    <t>脳神経外科</t>
  </si>
  <si>
    <t>山名　二郎</t>
  </si>
  <si>
    <t>医療法人社団恵摂会森田内科クリニック</t>
  </si>
  <si>
    <t>内科、アレルギー科、消化器内科、循環器内科、呼吸器内科、内視鏡内科</t>
  </si>
  <si>
    <t>青木　明日香</t>
  </si>
  <si>
    <t>宮坂　健司</t>
  </si>
  <si>
    <t>村田内科クリニック</t>
  </si>
  <si>
    <t>斉藤　裕次</t>
  </si>
  <si>
    <t>難波　康男</t>
  </si>
  <si>
    <t>円山　牧子</t>
  </si>
  <si>
    <t>神経内科、脳神経内科</t>
  </si>
  <si>
    <t>消化器外科</t>
  </si>
  <si>
    <t>医療法人香和会ちえ内科クリニック</t>
  </si>
  <si>
    <t>今田　昌輝</t>
  </si>
  <si>
    <t>医療法人村上会福山回生病院</t>
  </si>
  <si>
    <t>社会医療法人清風会廿日市記念病院</t>
  </si>
  <si>
    <t>石原　健二</t>
  </si>
  <si>
    <t>眼科</t>
  </si>
  <si>
    <t>医療法人社団みやもり医院</t>
  </si>
  <si>
    <t>湯浅　吉夫</t>
  </si>
  <si>
    <t>田辺　文理</t>
  </si>
  <si>
    <t>安永　裕司</t>
  </si>
  <si>
    <t>婦人科</t>
  </si>
  <si>
    <t>橋本　賢</t>
  </si>
  <si>
    <t>東広島市八本松町原6769</t>
  </si>
  <si>
    <t>中山　陽介</t>
  </si>
  <si>
    <t>広島県立総合リハビリテーションセンター医療センター</t>
  </si>
  <si>
    <t>望月　満</t>
  </si>
  <si>
    <t>粟屋　浩一</t>
  </si>
  <si>
    <t>佐々木　理恵</t>
  </si>
  <si>
    <t>松岡　弘</t>
  </si>
  <si>
    <t>松田　真伍</t>
  </si>
  <si>
    <t>内科、糖尿病内科、呼吸器内科</t>
  </si>
  <si>
    <t>佐藤　恭子</t>
  </si>
  <si>
    <t>栗原　毅</t>
  </si>
  <si>
    <t>こどもクリニックさとう</t>
  </si>
  <si>
    <t>内科、胃腸科、外科、整形外科、皮膚科</t>
  </si>
  <si>
    <t>内科、リハビリテーション科、麻酔科、呼吸器内科</t>
  </si>
  <si>
    <t>立川　勝司</t>
  </si>
  <si>
    <t>平井　泰明</t>
  </si>
  <si>
    <t>赤木　真治</t>
  </si>
  <si>
    <t>内科、外科、整形外科、消化器内科、肛門外科</t>
  </si>
  <si>
    <t>木阪クリニック</t>
  </si>
  <si>
    <t>福山市加茂町下加茂993</t>
  </si>
  <si>
    <t>津島　弘文</t>
  </si>
  <si>
    <t>三好　栄司</t>
  </si>
  <si>
    <t>中川クリニック</t>
  </si>
  <si>
    <t>三次市作木町下作木1503</t>
  </si>
  <si>
    <t>沖野上クリニック</t>
  </si>
  <si>
    <t>医療法人津島医院</t>
  </si>
  <si>
    <t>医療法人真慈会真愛病院</t>
  </si>
  <si>
    <t>籬　拓郎</t>
  </si>
  <si>
    <t>内科、皮膚科</t>
  </si>
  <si>
    <t>碓井サテライトクリニック</t>
  </si>
  <si>
    <t>形成外科</t>
  </si>
  <si>
    <t>戸田　潤子</t>
  </si>
  <si>
    <t>医療法人木下内科医院</t>
  </si>
  <si>
    <t>消化器内科</t>
  </si>
  <si>
    <t>ソレイユ眼科・矯正歯科</t>
  </si>
  <si>
    <t>内科、消化器科</t>
  </si>
  <si>
    <t>住田　佳樹</t>
  </si>
  <si>
    <t>耳鼻いんこう科、頭頸部外科</t>
  </si>
  <si>
    <t>河村小児科</t>
  </si>
  <si>
    <t>医療法人真住会真鍋外科・整形外科</t>
  </si>
  <si>
    <t>リウマチ科、整形外科、リハビリテーション科</t>
  </si>
  <si>
    <t>内科、放射線科、胃腸内科</t>
  </si>
  <si>
    <t>外科、整形外科、形成外科</t>
  </si>
  <si>
    <t>土屋　隆宏</t>
  </si>
  <si>
    <t>医療法人至誠会市頭眼科医院</t>
  </si>
  <si>
    <t>雛元　紀和</t>
  </si>
  <si>
    <t>内科、外科</t>
  </si>
  <si>
    <t>内科、リウマチ科、整形外科、リハビリテーション科</t>
  </si>
  <si>
    <t>医療法人社団博和会得本医院</t>
  </si>
  <si>
    <t>藤原　敬</t>
  </si>
  <si>
    <t>藤井整形形成外科医院</t>
  </si>
  <si>
    <t>栗本　清伸</t>
  </si>
  <si>
    <t>楠岡　公明</t>
  </si>
  <si>
    <t>伊藤　聖</t>
  </si>
  <si>
    <t>栗原　誠</t>
  </si>
  <si>
    <t>アレルギー科、皮膚科</t>
  </si>
  <si>
    <t>医療法人ハンス宮内総合クリニック</t>
  </si>
  <si>
    <t>内科、循環器科、呼吸器内科</t>
  </si>
  <si>
    <t>片岡　和洋</t>
  </si>
  <si>
    <t>徳永　葉</t>
  </si>
  <si>
    <t>岡崎　敏也</t>
  </si>
  <si>
    <t>井上　勝稔</t>
  </si>
  <si>
    <t>三原　充弘</t>
  </si>
  <si>
    <t>内科、リハビリテーション科、腎臓内科</t>
  </si>
  <si>
    <t>酒井耳鼻咽喉科皮ふ科医院</t>
  </si>
  <si>
    <t>内科、産婦人科、リハビリテーション科</t>
  </si>
  <si>
    <t>よしはら内科外科リハビリテーションクリニック</t>
  </si>
  <si>
    <t>医療法人社団藤本外科胃腸科肛門科クリニック</t>
  </si>
  <si>
    <t>医療法人岸医院</t>
  </si>
  <si>
    <t>府中市中須町1694</t>
  </si>
  <si>
    <t>開原　正展</t>
  </si>
  <si>
    <t>本多　元陽</t>
  </si>
  <si>
    <t>安芸高田市甲田町高田原1451</t>
  </si>
  <si>
    <t>医療法人社団健朗会石原内科胃腸科</t>
  </si>
  <si>
    <t>内科、循環器内科</t>
  </si>
  <si>
    <t>心石　敬子</t>
  </si>
  <si>
    <t>独立行政法人労働者健康安全機構　中国労災病院</t>
  </si>
  <si>
    <t>大江　啓常</t>
  </si>
  <si>
    <t>医療法人社団潤会宮崎胃腸科放射線科内科医院</t>
  </si>
  <si>
    <t>増田　淳也</t>
  </si>
  <si>
    <t>細谷　茂衛</t>
  </si>
  <si>
    <t>丸山　典良</t>
  </si>
  <si>
    <t>社会福祉法人恩賜財団済生会支部広島県済生会　済生会呉病院</t>
  </si>
  <si>
    <t>豊田レディースクリニック</t>
  </si>
  <si>
    <t>久賀　祥男</t>
  </si>
  <si>
    <t>伊藤　誠一</t>
  </si>
  <si>
    <t>ゆかわ脳神経外科クリニック</t>
  </si>
  <si>
    <t>統括診療部</t>
  </si>
  <si>
    <t>森元　博信</t>
  </si>
  <si>
    <t>広岡整形外科</t>
  </si>
  <si>
    <t>古城　研二</t>
  </si>
  <si>
    <t>玉木　隆</t>
  </si>
  <si>
    <t>岩瀧　真一郎</t>
  </si>
  <si>
    <t>小川　洋介</t>
  </si>
  <si>
    <t>循環器内科</t>
  </si>
  <si>
    <t>藤井　一弘</t>
  </si>
  <si>
    <t>内科、胃腸科</t>
  </si>
  <si>
    <t>廣田　稔</t>
  </si>
  <si>
    <t>医療法人萌樹会松井内科</t>
  </si>
  <si>
    <t>医療法人庄原眼科</t>
  </si>
  <si>
    <t>広島県立福山若草園</t>
  </si>
  <si>
    <t>益田　裕朗</t>
  </si>
  <si>
    <t>青木　信也</t>
  </si>
  <si>
    <t>すわ整形外科スパインスポーツクリニック</t>
  </si>
  <si>
    <t>医療法人社団津村眼科医院</t>
  </si>
  <si>
    <t>林　克彦</t>
  </si>
  <si>
    <t>岡田　雅晴</t>
  </si>
  <si>
    <t>呉芸南病院</t>
  </si>
  <si>
    <t>医療法人順典会手島医院</t>
  </si>
  <si>
    <t>瀬川　芳久</t>
  </si>
  <si>
    <t>医療法人緑風会ほうゆう病院</t>
  </si>
  <si>
    <t>内科、小児科、消化器内科、循環器内科、腎臓内科、心臓血管内科,内分泌代謝内科</t>
  </si>
  <si>
    <t>岩戸　英仁</t>
  </si>
  <si>
    <t>医療法人社団成恵会やまてクリニック</t>
  </si>
  <si>
    <t>医療法人社団三木耳鼻咽喉科医院</t>
  </si>
  <si>
    <t>永田　健二</t>
  </si>
  <si>
    <t>佐々木　伸孝</t>
  </si>
  <si>
    <t>きぬた小児科</t>
  </si>
  <si>
    <t>竹中　萌</t>
  </si>
  <si>
    <t>益田眼科</t>
  </si>
  <si>
    <t>田利　晶</t>
  </si>
  <si>
    <t>しまだファミリークリニック</t>
  </si>
  <si>
    <t>中村　邦彦</t>
  </si>
  <si>
    <t>内科、外科、循環器内科、血管外科</t>
  </si>
  <si>
    <t>武富　練一郎</t>
  </si>
  <si>
    <t>清水　雅宏</t>
  </si>
  <si>
    <t>天神川なかむら内科</t>
  </si>
  <si>
    <t>田辺　道子</t>
  </si>
  <si>
    <t>救急科</t>
  </si>
  <si>
    <t>廣岡　邦彦</t>
  </si>
  <si>
    <t>平田　康彦</t>
  </si>
  <si>
    <t>岩戸　真紀</t>
  </si>
  <si>
    <t>内科、リハビリテーション科、放射線科、脳神経内科・老年内科</t>
  </si>
  <si>
    <t>内科、消化器内科</t>
  </si>
  <si>
    <t>医療法人社団いなほ会せら医院</t>
  </si>
  <si>
    <t>湯浅　徹</t>
  </si>
  <si>
    <t>齊藤　明子</t>
  </si>
  <si>
    <t>三原　研一</t>
  </si>
  <si>
    <t>渡辺　光章</t>
  </si>
  <si>
    <t>上野　武久</t>
  </si>
  <si>
    <t>心臓血管外科</t>
  </si>
  <si>
    <t>上野整形外科</t>
  </si>
  <si>
    <t>池田　昌絵</t>
  </si>
  <si>
    <t>鞆藤井医院</t>
  </si>
  <si>
    <t>渡辺　千種</t>
  </si>
  <si>
    <t>医療法人かとう小児科アレルギー科</t>
  </si>
  <si>
    <t>医療法人薫風会田辺医院</t>
  </si>
  <si>
    <t>森口　進</t>
  </si>
  <si>
    <t>さくら眼科クリニック</t>
  </si>
  <si>
    <t>堀　郁子</t>
  </si>
  <si>
    <t>循環器科</t>
  </si>
  <si>
    <t>宇根　幸治</t>
  </si>
  <si>
    <t>内科、精神科、アレルギー科、リハビリテーション科、糖尿病内科、呼吸器内科</t>
  </si>
  <si>
    <t>西村　好史</t>
  </si>
  <si>
    <t>安部　博史</t>
  </si>
  <si>
    <t>わき小児科医院</t>
  </si>
  <si>
    <t>平田　雄三</t>
  </si>
  <si>
    <t>新開　洋一</t>
  </si>
  <si>
    <t>医療法人社団辰星会新開医院</t>
  </si>
  <si>
    <t>東広島市黒瀬町兼沢1074</t>
  </si>
  <si>
    <t>平野　巨通</t>
  </si>
  <si>
    <t>三好　綾子</t>
  </si>
  <si>
    <t>杉田　康志</t>
  </si>
  <si>
    <t>板野　稔子</t>
  </si>
  <si>
    <t>医療法人社団アイビー眼科</t>
  </si>
  <si>
    <t>医療法人康樹会すぎた皮ふ科アレルギー科</t>
  </si>
  <si>
    <t>広島県厚生農業協同組合連合会　広島総合病院</t>
  </si>
  <si>
    <t>藤森　恭孝</t>
  </si>
  <si>
    <t>丹治　英裕</t>
  </si>
  <si>
    <t>森本　忠雄</t>
  </si>
  <si>
    <t>日下　治</t>
  </si>
  <si>
    <t>廣田　薫平</t>
  </si>
  <si>
    <t>せきもとクリニック</t>
  </si>
  <si>
    <t>吉田　真里</t>
  </si>
  <si>
    <t>森末　正博</t>
  </si>
  <si>
    <t>梶原　賢太</t>
  </si>
  <si>
    <t>渡邉　純代</t>
  </si>
  <si>
    <t>尾道市向島町5450</t>
  </si>
  <si>
    <t>整形外科</t>
  </si>
  <si>
    <t>アレルギー科、内科(循環器・人工透析)</t>
  </si>
  <si>
    <t>原　幹</t>
  </si>
  <si>
    <t>敦賀　孝典</t>
  </si>
  <si>
    <t>二神　良治</t>
  </si>
  <si>
    <t>永田　義彦</t>
  </si>
  <si>
    <t>岸本　朋宗</t>
  </si>
  <si>
    <t>細本　翔</t>
  </si>
  <si>
    <t>医療法人社団片岡皮膚科</t>
  </si>
  <si>
    <t>リウマチ科、皮膚科、膠原病科</t>
  </si>
  <si>
    <t>竹信　敦充</t>
  </si>
  <si>
    <t>リハビリテーション科</t>
  </si>
  <si>
    <t>医療法人社団わらび会脇田医院</t>
  </si>
  <si>
    <t>中塩　了</t>
  </si>
  <si>
    <t>医療法人社団慶正会奥野内科医院</t>
  </si>
  <si>
    <t>岡本　一馬</t>
  </si>
  <si>
    <t>片山　元文</t>
  </si>
  <si>
    <t>医療法人藤田内科医院</t>
  </si>
  <si>
    <t>片山整形外科医院</t>
  </si>
  <si>
    <t>新甲　靖</t>
  </si>
  <si>
    <t>麻酔科</t>
  </si>
  <si>
    <t>金　一徹</t>
  </si>
  <si>
    <t>内科、泌尿器科</t>
  </si>
  <si>
    <t>アイネス内科クリニック</t>
  </si>
  <si>
    <t>森岡　英次</t>
  </si>
  <si>
    <t>加見谷　将人</t>
  </si>
  <si>
    <t>森木　康之</t>
  </si>
  <si>
    <t>堀田　尚克</t>
  </si>
  <si>
    <t>野村　雅之</t>
  </si>
  <si>
    <t>貞本　誠治</t>
  </si>
  <si>
    <t>医療法人社団真善会梅田クリニック</t>
  </si>
  <si>
    <t>地庵　浩司</t>
  </si>
  <si>
    <t>長外科胃腸科医院</t>
  </si>
  <si>
    <t>たなべ小児科</t>
  </si>
  <si>
    <t>冨田　稔</t>
  </si>
  <si>
    <t>医療法人社団なかしお内科クリニック</t>
  </si>
  <si>
    <t>遠近　直成</t>
  </si>
  <si>
    <t>武本　知子</t>
  </si>
  <si>
    <t>山根　浩介</t>
  </si>
  <si>
    <t>谷本　佳都子</t>
  </si>
  <si>
    <t>内科、リウマチ科</t>
  </si>
  <si>
    <t>宮田　康史</t>
  </si>
  <si>
    <t>丸谷　盛雄</t>
  </si>
  <si>
    <t>竹政　敏彦</t>
  </si>
  <si>
    <t>谷　秀樹</t>
  </si>
  <si>
    <t>行德　英一</t>
  </si>
  <si>
    <t>山中　秀彦</t>
  </si>
  <si>
    <t>德永　尚之</t>
  </si>
  <si>
    <t>栗栖　智</t>
  </si>
  <si>
    <t>太田形成外科クリニック</t>
  </si>
  <si>
    <t>喜多　真也</t>
  </si>
  <si>
    <t>医療法人社団日野ホームクリニック</t>
  </si>
  <si>
    <t>うだ胃腸科内科外科クリニック</t>
  </si>
  <si>
    <t>有本　之嗣</t>
  </si>
  <si>
    <t>内科、放射線科</t>
  </si>
  <si>
    <t>東広島市黒瀬町丸山1324</t>
  </si>
  <si>
    <t>大宇根　晃雅</t>
  </si>
  <si>
    <t>津村　龍</t>
  </si>
  <si>
    <t>内科、心療内科、小児科、リハビリテーション科、脳神経内科</t>
  </si>
  <si>
    <t>平井　章三</t>
  </si>
  <si>
    <t>医療法人慈彗会亀川病院</t>
  </si>
  <si>
    <t>横田　和典</t>
  </si>
  <si>
    <t>四季が丘クリニック</t>
  </si>
  <si>
    <t>おぐら小児科</t>
  </si>
  <si>
    <t>吉岡　京子</t>
  </si>
  <si>
    <t>森原　正雄</t>
  </si>
  <si>
    <t>つるが眼科</t>
  </si>
  <si>
    <t>内科、神経内科</t>
  </si>
  <si>
    <t>小児科、皮膚科</t>
  </si>
  <si>
    <t>藤井　謙太郎</t>
  </si>
  <si>
    <t>おかだ(外科・内科)医院</t>
  </si>
  <si>
    <t>行徳皮ふ科アレルギー科</t>
  </si>
  <si>
    <t>中川　寛顕</t>
  </si>
  <si>
    <t>岡田　康志</t>
  </si>
  <si>
    <t>秋田　慎</t>
  </si>
  <si>
    <t>松本　武史</t>
  </si>
  <si>
    <t>大宇根内科呼吸器科クリニック</t>
  </si>
  <si>
    <t>亀好　良一</t>
  </si>
  <si>
    <t>宮下　裕行</t>
  </si>
  <si>
    <t>小倉　一真</t>
  </si>
  <si>
    <t>宇根　清香</t>
  </si>
  <si>
    <t>医療法人一香会宇根クリニック</t>
  </si>
  <si>
    <t>宇根　知香</t>
  </si>
  <si>
    <t>西田　洋子</t>
  </si>
  <si>
    <t>たまき整形外科</t>
  </si>
  <si>
    <t>脳神経センター大田記念病院</t>
  </si>
  <si>
    <t>片岡　和博</t>
  </si>
  <si>
    <t>日野　一成</t>
  </si>
  <si>
    <t>原　道治</t>
  </si>
  <si>
    <t>金子　佳奈子</t>
  </si>
  <si>
    <t>胃腸科、肛門外科</t>
  </si>
  <si>
    <t>田辺　恒一郎</t>
  </si>
  <si>
    <t>府中市高木町402</t>
  </si>
  <si>
    <t>北広島町雄鹿原診療所</t>
  </si>
  <si>
    <t>医療法人社団黎明会さくらの丘クリニック</t>
  </si>
  <si>
    <t>福山市駅家町法成寺108</t>
  </si>
  <si>
    <t>岡部　勉</t>
  </si>
  <si>
    <t>二井　宏紀</t>
  </si>
  <si>
    <t>河島　昌典</t>
  </si>
  <si>
    <t>林　始</t>
  </si>
  <si>
    <t>えたじま幸田医院</t>
  </si>
  <si>
    <t>医療法人社団和恒会ふたば病院</t>
  </si>
  <si>
    <t>亀井　千夏</t>
  </si>
  <si>
    <t>医療法人社団片岡内科胃腸科医院　かたおか内科クリニック</t>
  </si>
  <si>
    <t>一般内科</t>
  </si>
  <si>
    <t>小出　隆生</t>
  </si>
  <si>
    <t>井上　淳</t>
  </si>
  <si>
    <t>さかの小児科</t>
  </si>
  <si>
    <t>大同　茂</t>
  </si>
  <si>
    <t>医療法人社団にしだ眼科医院</t>
  </si>
  <si>
    <t>丸谷循環器科内科医院</t>
  </si>
  <si>
    <t>内科、循環器科、リハビリテーション科</t>
  </si>
  <si>
    <t>本田　由美</t>
  </si>
  <si>
    <t>総合診療科</t>
  </si>
  <si>
    <t>脊椎外科</t>
  </si>
  <si>
    <t>かめよし皮ふ科・アレルギー科</t>
  </si>
  <si>
    <t>碓井　芳樹</t>
  </si>
  <si>
    <t>髙橋脳神経外科 循環器内科</t>
  </si>
  <si>
    <t>飛梅　斎</t>
  </si>
  <si>
    <t>医療法人社団千手会瀬尾医院</t>
  </si>
  <si>
    <t>社会医療法人社団陽正会　寺岡記念病院</t>
  </si>
  <si>
    <t>医療法人社団松田医院</t>
  </si>
  <si>
    <t>クリニック広島健診</t>
  </si>
  <si>
    <t>児玉　寛治</t>
  </si>
  <si>
    <t>内科、心療内科、精神科、神経科</t>
  </si>
  <si>
    <t>谷口　学</t>
  </si>
  <si>
    <t>田代　裕尊</t>
  </si>
  <si>
    <t>医療法人社団仁友会尾道クリニック</t>
  </si>
  <si>
    <t>谷口ハートクリニック</t>
  </si>
  <si>
    <t>のだ医院</t>
  </si>
  <si>
    <t>松本　春樹</t>
  </si>
  <si>
    <t>医療法人野村脳神経外科クリニック</t>
  </si>
  <si>
    <t>医療法人輝眸会小川眼科</t>
  </si>
  <si>
    <t>谷口　寛</t>
  </si>
  <si>
    <t>平井　隆之</t>
  </si>
  <si>
    <t>野村　陽平</t>
  </si>
  <si>
    <t>北尾　憲太郎</t>
  </si>
  <si>
    <t>福富内科外科医院</t>
  </si>
  <si>
    <t>原田　薫雄</t>
  </si>
  <si>
    <t>医療法人松本内科医院</t>
  </si>
  <si>
    <t>青木　早苗</t>
  </si>
  <si>
    <t>山形　東吾</t>
  </si>
  <si>
    <t>医療法人社団山形内科循環器医院</t>
  </si>
  <si>
    <t>弓場　通正</t>
  </si>
  <si>
    <t>長井　弘一郎</t>
  </si>
  <si>
    <t>宍道　健介</t>
  </si>
  <si>
    <t>内科、神経内科、脳神経外科、リハビリテーション科</t>
  </si>
  <si>
    <t>内科、呼吸器科、消化器科、循環器科</t>
  </si>
  <si>
    <t>下山　直登</t>
  </si>
  <si>
    <t>土屋内科医院</t>
  </si>
  <si>
    <t>難波　泰樹</t>
  </si>
  <si>
    <t>坂本　明子</t>
  </si>
  <si>
    <t>医療法人あかね会阿品土谷病院</t>
  </si>
  <si>
    <t>世良　一穂</t>
  </si>
  <si>
    <t>十倉　健彦</t>
  </si>
  <si>
    <t>医療法人　小園内科・循環器科</t>
  </si>
  <si>
    <t>医療法人中丸クリニック</t>
  </si>
  <si>
    <t>中塚　博文</t>
  </si>
  <si>
    <t>安原　耕一郎</t>
  </si>
  <si>
    <t>田村　淳</t>
  </si>
  <si>
    <t>岩川　和秀</t>
  </si>
  <si>
    <t>内藤　洋一郎</t>
  </si>
  <si>
    <t>髙場　憲夫</t>
  </si>
  <si>
    <t>佐々木　元章</t>
  </si>
  <si>
    <t>石岡　英彦</t>
  </si>
  <si>
    <t>福田　真治</t>
  </si>
  <si>
    <t>医療法人木曽胃腸科内科</t>
  </si>
  <si>
    <t>福山市新市町新市37</t>
  </si>
  <si>
    <t>富本　秀子</t>
  </si>
  <si>
    <t>石井　賢造</t>
  </si>
  <si>
    <t>佐藤　倫由</t>
  </si>
  <si>
    <t>歌野原　慎一</t>
  </si>
  <si>
    <t>和田胃腸科・皮膚科クリニック</t>
  </si>
  <si>
    <t>髙橋　志保</t>
  </si>
  <si>
    <t>西谷　皓次</t>
  </si>
  <si>
    <t>清水医院</t>
  </si>
  <si>
    <t>姫野　隆洋</t>
  </si>
  <si>
    <t>清水　洋祐</t>
  </si>
  <si>
    <t>川溿　雄大</t>
  </si>
  <si>
    <t>アレルギー科、耳鼻いんこう科</t>
  </si>
  <si>
    <t>木曽　尊彦</t>
  </si>
  <si>
    <t>加納　俊彦</t>
  </si>
  <si>
    <t>加納内科消化器科</t>
  </si>
  <si>
    <t>内科、心療内科、精神科、アレルギー科、消化器内科、循環器内科</t>
  </si>
  <si>
    <t>佐々木内科糖尿病クリニック</t>
  </si>
  <si>
    <t>藤本　英雄</t>
  </si>
  <si>
    <t>新市ときながクリニック</t>
  </si>
  <si>
    <t>國田　哲子</t>
  </si>
  <si>
    <t>内科、呼吸器科、リハビリテーション科、放射線科</t>
  </si>
  <si>
    <t>医療法人清幸会三原城町病院</t>
  </si>
  <si>
    <t>内科、小児科、皮膚科</t>
  </si>
  <si>
    <t>医療法人社団森本医院</t>
  </si>
  <si>
    <t>医療法人社団健生会いそだ病院</t>
  </si>
  <si>
    <t>田中　民江</t>
  </si>
  <si>
    <t>田辺　泰登</t>
  </si>
  <si>
    <t>なんば内科クリニック</t>
  </si>
  <si>
    <t>板阪内科小児科医院</t>
  </si>
  <si>
    <t>竹原市下野町3136</t>
  </si>
  <si>
    <t>田辺クリニック</t>
  </si>
  <si>
    <t>医療法人福徳永会さいきじんクリニック</t>
  </si>
  <si>
    <t>医療法人社団松本内科胃腸科医院</t>
  </si>
  <si>
    <t>医療法人社団福岡医院</t>
  </si>
  <si>
    <t>クリニックたなべ整形外科</t>
  </si>
  <si>
    <t>石井　辰明</t>
  </si>
  <si>
    <t>医療法人碧い颯清水医院</t>
  </si>
  <si>
    <t>いしいクリニック</t>
  </si>
  <si>
    <t>内科、胃腸科、循環器科、小児科</t>
  </si>
  <si>
    <t>外科</t>
  </si>
  <si>
    <t>藤原　惠</t>
  </si>
  <si>
    <t>北田　邦美</t>
  </si>
  <si>
    <t>小原　淳伸</t>
  </si>
  <si>
    <t>みよし耳鼻咽喉科</t>
  </si>
  <si>
    <t>医療法人汐仁会橘高内科小児科医院</t>
  </si>
  <si>
    <t>医療法人社団藤本会藤本医院</t>
  </si>
  <si>
    <t>リウマチ科</t>
  </si>
  <si>
    <t>川本　純</t>
  </si>
  <si>
    <t>医療法人立整会立川整形外科リハビリリウマチクリニック</t>
  </si>
  <si>
    <t>医療法人静和会みはら内科クリニック</t>
  </si>
  <si>
    <t>水本　健</t>
  </si>
  <si>
    <t>梅田　直樹</t>
  </si>
  <si>
    <t>森藤　清彦</t>
  </si>
  <si>
    <t>小寺　亜矢</t>
  </si>
  <si>
    <t>奥田　芳昭</t>
  </si>
  <si>
    <t>医療法人芳仁会ひとみ眼科</t>
  </si>
  <si>
    <t>畠　和宏</t>
  </si>
  <si>
    <t>いしおか医院</t>
  </si>
  <si>
    <t>数佐　正邦</t>
  </si>
  <si>
    <t>内科、脳神経外科、脳神経内科</t>
  </si>
  <si>
    <t>岡田　慶子</t>
  </si>
  <si>
    <t>豊田郡大崎上島町明石2700</t>
  </si>
  <si>
    <t>おかだ眼科</t>
  </si>
  <si>
    <t>梅村　隆史</t>
  </si>
  <si>
    <t>医療法人社団中川会呉中通病院</t>
  </si>
  <si>
    <t>医療法人みやうち廿日市野村病院</t>
  </si>
  <si>
    <t>松本　英男</t>
  </si>
  <si>
    <t>門　真起子</t>
  </si>
  <si>
    <t>城　日加里</t>
  </si>
  <si>
    <t>心療内科、精神科、神経内科</t>
  </si>
  <si>
    <t>大枝　守</t>
  </si>
  <si>
    <t>栗山　充夫</t>
  </si>
  <si>
    <t>東広島記念病院</t>
  </si>
  <si>
    <t>福山整形外科クリニック</t>
  </si>
  <si>
    <t>福山市芦田町下有地986</t>
  </si>
  <si>
    <t>医療法人信英会島谷病院</t>
  </si>
  <si>
    <t>加藤　恭博</t>
  </si>
  <si>
    <t>岸本　玲子</t>
  </si>
  <si>
    <t>谷本　達郎</t>
  </si>
  <si>
    <t>和田　玄</t>
  </si>
  <si>
    <t>はまもと皮ふ科</t>
  </si>
  <si>
    <t>医療法人ささき小児科医院</t>
  </si>
  <si>
    <t>河内　英基</t>
  </si>
  <si>
    <t>大矢　宏典</t>
  </si>
  <si>
    <t>泌尿器科</t>
  </si>
  <si>
    <t>小野　裕二郎</t>
  </si>
  <si>
    <t>海田よつ葉クリニック</t>
  </si>
  <si>
    <t>岡崎　富男</t>
  </si>
  <si>
    <t>医療法人社団仁徳会宮原通りクリニック</t>
  </si>
  <si>
    <t>内科、消化器内科、内視鏡内科</t>
  </si>
  <si>
    <t>内科、代謝内科、糖尿病内科、内分泌内科</t>
  </si>
  <si>
    <t>吉本　祐介</t>
  </si>
  <si>
    <t>内科・腎臓内科かつたにクリニック</t>
  </si>
  <si>
    <t>宮阪　英</t>
  </si>
  <si>
    <t>心療内科、精神科</t>
  </si>
  <si>
    <t>大村　一郎</t>
  </si>
  <si>
    <t>おかべ皮ふ科</t>
  </si>
  <si>
    <t>村井　一樹</t>
  </si>
  <si>
    <t>井之川　廣江</t>
  </si>
  <si>
    <t>東広島整形外科クリニック</t>
  </si>
  <si>
    <t>神石高原町立病院</t>
  </si>
  <si>
    <t>前田　正博</t>
  </si>
  <si>
    <t>医療法人社団永楽会前田病院</t>
  </si>
  <si>
    <t>医療法人社団たむら眼科</t>
  </si>
  <si>
    <t>医療法人社団正仁会村上内科循環器科医院</t>
  </si>
  <si>
    <t>内科、リハビリテーション科、腎臓内科、脳神経内科</t>
  </si>
  <si>
    <t>西岡　智司</t>
  </si>
  <si>
    <t>医療法人社団まこと会神辺内科医院</t>
  </si>
  <si>
    <t>小畠　廉平</t>
  </si>
  <si>
    <t>太田　壮</t>
  </si>
  <si>
    <t>木阪病院</t>
  </si>
  <si>
    <t>外科、腎泌尿器科,腎移植</t>
  </si>
  <si>
    <t>壷井　聡史</t>
  </si>
  <si>
    <t>やすはらこどもクリニック</t>
  </si>
  <si>
    <t>箱田　知美</t>
  </si>
  <si>
    <t>那須　貴臣</t>
  </si>
  <si>
    <t>藤田　康文</t>
  </si>
  <si>
    <t>中光　篤志</t>
  </si>
  <si>
    <t>水野　俊行</t>
  </si>
  <si>
    <t>県立安芸津病院</t>
  </si>
  <si>
    <t>小川　晃</t>
  </si>
  <si>
    <t>市川　織絵</t>
  </si>
  <si>
    <t>太田　逸朗</t>
  </si>
  <si>
    <t>角南　勝利</t>
  </si>
  <si>
    <t>医療法人社団重松会松本病院</t>
  </si>
  <si>
    <t>矢野　勝巳</t>
  </si>
  <si>
    <t>内科、胃腸科、外科、整形外科、肛門科</t>
  </si>
  <si>
    <t>医療法人宗斉会須波宗斉会病院</t>
  </si>
  <si>
    <t>岡田　博文</t>
  </si>
  <si>
    <t>岡田クリニック</t>
  </si>
  <si>
    <t>田村　律</t>
  </si>
  <si>
    <t>医療法人社団千和会ほそや内科クリニック</t>
  </si>
  <si>
    <t>檜谷　興</t>
  </si>
  <si>
    <t>勝谷・小笠原クリニック</t>
  </si>
  <si>
    <t>医療法人仁光会日谷眼科</t>
  </si>
  <si>
    <t>マッターホルンリハビリテーション病院</t>
  </si>
  <si>
    <t>内科、呼吸器科、胃腸科、循環器科、放射線科</t>
  </si>
  <si>
    <t>医療法人社団正和会松下クリニック</t>
  </si>
  <si>
    <t>弘野　正司</t>
  </si>
  <si>
    <t>増成　太郎</t>
  </si>
  <si>
    <t>医療法人社団天風会益田眼科小児科医院</t>
  </si>
  <si>
    <t>清水　嘉人</t>
  </si>
  <si>
    <t>岡野　勝二</t>
  </si>
  <si>
    <t>谷岡　千衣</t>
  </si>
  <si>
    <t>藤原　恒太郎</t>
  </si>
  <si>
    <t>藤堂　祐子</t>
  </si>
  <si>
    <t>仁熊　利之</t>
  </si>
  <si>
    <t>内科、外科、循環器内科、肛門科</t>
  </si>
  <si>
    <t>宮﨑　こずえ</t>
  </si>
  <si>
    <t>黒瀬　承平</t>
  </si>
  <si>
    <t>花房　晶</t>
  </si>
  <si>
    <t>内科、呼吸器科、消化器科、循環器科、小児科</t>
  </si>
  <si>
    <t>はまもと内科クリニック</t>
  </si>
  <si>
    <t>医療法人社団貴和会佐伯中央病院</t>
  </si>
  <si>
    <t>はやし整形外科クリニック</t>
  </si>
  <si>
    <t>医療法人かしの木会山本整形外科病院</t>
  </si>
  <si>
    <t>山根　基</t>
  </si>
  <si>
    <t>白川　泰山</t>
  </si>
  <si>
    <t>もちづき皮ふ科アレルギー科</t>
  </si>
  <si>
    <t>アマノリハビリテーション病院</t>
  </si>
  <si>
    <t>寺田　忠司</t>
  </si>
  <si>
    <t>小笠原　英敬</t>
  </si>
  <si>
    <t>医療法人社団慈正会大矢整形外科病院</t>
  </si>
  <si>
    <t>外科、消化器外科</t>
  </si>
  <si>
    <t>脳神経外科、リハビリテーション科</t>
  </si>
  <si>
    <t>庄原市立西城市民病院</t>
  </si>
  <si>
    <t>申　正樹</t>
  </si>
  <si>
    <t>上野　哲史</t>
  </si>
  <si>
    <t>有澤　正</t>
  </si>
  <si>
    <t>医療法人社団恵仁会福田内科小児科</t>
  </si>
  <si>
    <t>内科、呼吸器科、胃腸科、循環器科、小児科、リハビリテーション科</t>
  </si>
  <si>
    <t>医療法人社団健照会住吉ふじい病院</t>
  </si>
  <si>
    <t>内科、神経内科、外科、整形外科、脳神経外科、放射線科、消化器内科</t>
  </si>
  <si>
    <t>坂本　郁夫</t>
  </si>
  <si>
    <t>白須　健司</t>
  </si>
  <si>
    <t>坂本眼科小児科クリニック</t>
  </si>
  <si>
    <t>医療法人社団寺家内科クリニック</t>
  </si>
  <si>
    <t>林　經堯</t>
  </si>
  <si>
    <t>眼科宍道医院</t>
  </si>
  <si>
    <t>小川　徹郎</t>
  </si>
  <si>
    <t>益田　徹</t>
  </si>
  <si>
    <t>山崎　正数</t>
  </si>
  <si>
    <t>医療法人翔帆会　河村内科</t>
  </si>
  <si>
    <t>戸田　博之</t>
  </si>
  <si>
    <t>久行　敦士</t>
  </si>
  <si>
    <t>児玉　篤</t>
  </si>
  <si>
    <t>放射線科</t>
  </si>
  <si>
    <t>梅田　直人</t>
  </si>
  <si>
    <t>中川　三郎</t>
  </si>
  <si>
    <t>内科、呼吸器科、アレルギー科</t>
  </si>
  <si>
    <t>下山記念クリニック</t>
  </si>
  <si>
    <t>原　睦展</t>
  </si>
  <si>
    <t>小園　亮次</t>
  </si>
  <si>
    <t>佐野　敏明</t>
  </si>
  <si>
    <t>川﨑内科医院</t>
  </si>
  <si>
    <t>放射線治療科</t>
  </si>
  <si>
    <t>原田　俊英</t>
  </si>
  <si>
    <t>建部　智子</t>
  </si>
  <si>
    <t>医療法人佐野内科医院</t>
  </si>
  <si>
    <t>木曽　昭彦</t>
  </si>
  <si>
    <t>胃腸科</t>
  </si>
  <si>
    <t>胃腸科、外科、肛門科</t>
  </si>
  <si>
    <t>政永内科・まさなが歯科クリニック</t>
  </si>
  <si>
    <t>谷　　洋</t>
  </si>
  <si>
    <t>長坂　邦子</t>
  </si>
  <si>
    <t>内科、アレルギー科、呼吸器内科</t>
  </si>
  <si>
    <t>つまもと眼科</t>
  </si>
  <si>
    <t>医療法人たに内科クリニック</t>
  </si>
  <si>
    <t>脳神経内科</t>
  </si>
  <si>
    <t>西川　公一郎</t>
  </si>
  <si>
    <t>辻　徹郎</t>
  </si>
  <si>
    <t>蔭地　啓市</t>
  </si>
  <si>
    <t>諌見　康弘</t>
  </si>
  <si>
    <t>小林　宏光</t>
  </si>
  <si>
    <t>東広島市西条町助実1172  3F</t>
  </si>
  <si>
    <t>津村　清</t>
  </si>
  <si>
    <t>塩田　直樹</t>
  </si>
  <si>
    <t>隅田　良介</t>
  </si>
  <si>
    <t>寺岡整形外科病院</t>
  </si>
  <si>
    <t>徳永　真和</t>
  </si>
  <si>
    <t>因來　泰彦</t>
  </si>
  <si>
    <t>吉川　昌樹</t>
  </si>
  <si>
    <t>中村　絋子</t>
  </si>
  <si>
    <t>長尾　彰</t>
  </si>
  <si>
    <t>迫口　哲彦</t>
  </si>
  <si>
    <t>内科、循環器科</t>
  </si>
  <si>
    <t>のぞみ整形外科クリニック寺家</t>
  </si>
  <si>
    <t>石川　哲三</t>
  </si>
  <si>
    <t>林　裕美子</t>
  </si>
  <si>
    <t>谷本　新学</t>
  </si>
  <si>
    <t>永澤　昌</t>
  </si>
  <si>
    <t>肝臓内科</t>
  </si>
  <si>
    <t>田邉　賢</t>
  </si>
  <si>
    <t>河村　隆</t>
  </si>
  <si>
    <t>三宅　潤一</t>
  </si>
  <si>
    <t>医療法人のぞみ会むぎ耳鼻咽喉科医院</t>
  </si>
  <si>
    <t>黒瀬　恭平</t>
  </si>
  <si>
    <t>医療法人社団葵会本永病院</t>
  </si>
  <si>
    <t>金谷　雄平</t>
  </si>
  <si>
    <t>松山　善次郎</t>
  </si>
  <si>
    <t>大原　直樹</t>
  </si>
  <si>
    <t>医療法人ふじえ松山内科</t>
  </si>
  <si>
    <t>医療法人しらね眼科</t>
  </si>
  <si>
    <t>内科、脳神経内科</t>
  </si>
  <si>
    <t>医療法人社団眞田クリニック</t>
  </si>
  <si>
    <t>先本　秀人</t>
  </si>
  <si>
    <t>篠崎　正光</t>
  </si>
  <si>
    <t>貞友　隆</t>
  </si>
  <si>
    <t>廿日市市津田4180</t>
  </si>
  <si>
    <t>児玉　良雄</t>
  </si>
  <si>
    <t>門田　秀二</t>
  </si>
  <si>
    <t>独立行政法人国立病院機構　呉医療センター</t>
  </si>
  <si>
    <t>川﨑　秀孝</t>
  </si>
  <si>
    <t>土肥　慎二郎</t>
  </si>
  <si>
    <t>佐藤　透</t>
  </si>
  <si>
    <t>石原　具和</t>
  </si>
  <si>
    <t>なんば医院</t>
  </si>
  <si>
    <t>吉鷹　知也</t>
  </si>
  <si>
    <t>フジイ眼科</t>
  </si>
  <si>
    <t>医療法人よしたかクリニック</t>
  </si>
  <si>
    <t>平位　有恒</t>
  </si>
  <si>
    <t>水永　弘司</t>
  </si>
  <si>
    <t>政永　敏之</t>
  </si>
  <si>
    <t>尾道市因島土生町2561</t>
  </si>
  <si>
    <t>内科、精神科、アレルギー科、小児科</t>
  </si>
  <si>
    <t>みはら眼科</t>
  </si>
  <si>
    <t>竹倉　直樹</t>
  </si>
  <si>
    <t>形成外科、皮膚科</t>
  </si>
  <si>
    <t>河本　邦彦</t>
  </si>
  <si>
    <t>山本　佳史</t>
  </si>
  <si>
    <t>医療法人社団増原会東城病院</t>
  </si>
  <si>
    <t>医療法人社団河本内科クリニック</t>
  </si>
  <si>
    <t>医療法人社団田村医院</t>
  </si>
  <si>
    <t>福山南病院</t>
  </si>
  <si>
    <t>草野　由恵</t>
  </si>
  <si>
    <t>髙橋　浩</t>
  </si>
  <si>
    <t>中村　舞</t>
  </si>
  <si>
    <t>福山市鞆町鞆323</t>
  </si>
  <si>
    <t>内科、胃腸科、リハビリテーション科、放射線科</t>
  </si>
  <si>
    <t>齊藤　弘之</t>
  </si>
  <si>
    <t>後藤　豊子</t>
  </si>
  <si>
    <t>西村　修平</t>
  </si>
  <si>
    <t>三宅会グッドライフ病院</t>
  </si>
  <si>
    <t>内科、消化器内科、糖尿病内科</t>
  </si>
  <si>
    <t>医療法人見水会福山クリニック</t>
  </si>
  <si>
    <t>まつおか耳鼻咽喉科</t>
  </si>
  <si>
    <t>佐藤　達哉</t>
  </si>
  <si>
    <t>橘髙　英之</t>
  </si>
  <si>
    <t>医療法人社団晃和会半明内科クリニック</t>
  </si>
  <si>
    <t>奈良井　章人</t>
  </si>
  <si>
    <t>橘髙クリニック</t>
  </si>
  <si>
    <t>高橋　宏幸</t>
  </si>
  <si>
    <t>小瀬　和洋</t>
  </si>
  <si>
    <t>中田　嘉夫</t>
  </si>
  <si>
    <t>松尾　恵輔</t>
  </si>
  <si>
    <t>医療法人社団康仁会森原内科胃腸科医院</t>
  </si>
  <si>
    <t>橋本　昌美</t>
  </si>
  <si>
    <t>医療法人永元会はしもとじんクリニック</t>
  </si>
  <si>
    <t>河村　理英子</t>
  </si>
  <si>
    <t>築家　新司</t>
  </si>
  <si>
    <t>神経内科、リハビリテーション科、放射線科、消化器内科、肝臓内科、糖尿病内科、呼吸器内科、心臓・循環器内科，膵臓・胆嚢内科，胃腸・内視鏡内科，脳神経内科</t>
  </si>
  <si>
    <t>なす眼科クリニック</t>
  </si>
  <si>
    <t>内科、呼吸器内科</t>
  </si>
  <si>
    <t>小西　央郎</t>
  </si>
  <si>
    <t>血液内科</t>
  </si>
  <si>
    <t>医療法人光耀会岩﨑整形外科</t>
  </si>
  <si>
    <t>藤原　紀男</t>
  </si>
  <si>
    <t>上田循環器科内科</t>
  </si>
  <si>
    <t>日野内科小児科クリニック</t>
  </si>
  <si>
    <t>倉重　毅志</t>
  </si>
  <si>
    <t>医療法人紅萌会福山記念病院</t>
  </si>
  <si>
    <t>アレルギー科、小児科</t>
  </si>
  <si>
    <t>布袋　裕士</t>
  </si>
  <si>
    <t>石藤クリニック</t>
  </si>
  <si>
    <t>田中　伸吾</t>
  </si>
  <si>
    <t>宮野　良隆</t>
  </si>
  <si>
    <t>せおクリニック</t>
  </si>
  <si>
    <t>人工透析内科</t>
  </si>
  <si>
    <t>渡　正伸</t>
  </si>
  <si>
    <t>田村　博己</t>
  </si>
  <si>
    <t>医療法人蒼生会楠本病院</t>
  </si>
  <si>
    <t>医療法人あわや内科クリニック</t>
  </si>
  <si>
    <t>田村　陽介</t>
  </si>
  <si>
    <t>内科、アレルギー科、小児科、リハビリテーション科、消化器内科、呼吸器内科</t>
  </si>
  <si>
    <t>元田　敦子</t>
  </si>
  <si>
    <t>福原　和秀</t>
  </si>
  <si>
    <t>勝谷　昌平</t>
  </si>
  <si>
    <t>絹田　恵子</t>
  </si>
  <si>
    <t>内科、リウマチ科、循環器内科、呼吸器内科</t>
  </si>
  <si>
    <t>下野　研一</t>
  </si>
  <si>
    <t>社会医療法人里仁会　興生総合病院</t>
  </si>
  <si>
    <t>中﨑　清之</t>
  </si>
  <si>
    <t>今村　かずみ</t>
  </si>
  <si>
    <t>重藤　えり子</t>
  </si>
  <si>
    <t>秋月　成二</t>
  </si>
  <si>
    <t>敦賀　一郎</t>
  </si>
  <si>
    <t>石井　尚子</t>
  </si>
  <si>
    <t>吉田　成人</t>
  </si>
  <si>
    <t>齋藤　あゆみ</t>
  </si>
  <si>
    <t>立山　義朗</t>
  </si>
  <si>
    <t>神経内科、リハビリテーション科</t>
  </si>
  <si>
    <t>三河内　明</t>
  </si>
  <si>
    <t>こだま整形外科医院</t>
  </si>
  <si>
    <t>リウマチ科、外科、整形外科、リハビリテーション科</t>
  </si>
  <si>
    <t>医療法人社団千心会渡邉内科クリニック</t>
  </si>
  <si>
    <t>酒井　健史</t>
  </si>
  <si>
    <t>松浦内科医院</t>
  </si>
  <si>
    <t>医療法人社団永楽会おかはし内科医院</t>
  </si>
  <si>
    <t>医療法人大慈会三原病院</t>
  </si>
  <si>
    <t>清重　昇</t>
  </si>
  <si>
    <t>研井　有紀</t>
  </si>
  <si>
    <t>河村　茂雄</t>
  </si>
  <si>
    <t>村上　努士</t>
  </si>
  <si>
    <t>八島　暁英</t>
  </si>
  <si>
    <t>酒井　利忠</t>
  </si>
  <si>
    <t>舛田　裕道</t>
  </si>
  <si>
    <t>網本　達也</t>
  </si>
  <si>
    <t>網本内科消化器科医院</t>
  </si>
  <si>
    <t>小根森　元</t>
  </si>
  <si>
    <t>医療法人社団こね森内科医院</t>
  </si>
  <si>
    <t>内科、脳神経外科</t>
  </si>
  <si>
    <t>迫田　英一郎</t>
  </si>
  <si>
    <t>井上　林太郎</t>
  </si>
  <si>
    <t>二階堂　寛俊</t>
  </si>
  <si>
    <t>医療法人社団二階堂眼科</t>
  </si>
  <si>
    <t>勇木　清</t>
  </si>
  <si>
    <t>徳毛　幸枝</t>
  </si>
  <si>
    <t>東広島市西条町土与丸1235</t>
  </si>
  <si>
    <t>医療法人仁康会本郷中央病院</t>
  </si>
  <si>
    <t>ちくいえクリニック</t>
  </si>
  <si>
    <t>宮原　伸之</t>
  </si>
  <si>
    <t>児玉　真也</t>
  </si>
  <si>
    <t>因島医師会病院</t>
  </si>
  <si>
    <t>脇田　匡</t>
  </si>
  <si>
    <t>田原　浩</t>
  </si>
  <si>
    <t>上野　宏泰</t>
  </si>
  <si>
    <t>医療法人健仁会西村内科医院</t>
  </si>
  <si>
    <t>リウマチ・膠原病科</t>
  </si>
  <si>
    <t>織田　雅也</t>
  </si>
  <si>
    <t>医療法人微風会ビハーラ花の里病院</t>
  </si>
  <si>
    <t>和田　健太朗</t>
  </si>
  <si>
    <t>藤田　道雄</t>
  </si>
  <si>
    <t>高橋　幸治</t>
  </si>
  <si>
    <t>呉整形外科クリニック</t>
  </si>
  <si>
    <t>郡山　達男</t>
  </si>
  <si>
    <t>丸石　正治</t>
  </si>
  <si>
    <t>国家公務員共済組合連合会　呉共済病院</t>
  </si>
  <si>
    <t>福山市神辺町川北1533</t>
  </si>
  <si>
    <t>医療法人微風会三次神経内科クリニック花の里</t>
  </si>
  <si>
    <t>児玉眼科医院</t>
  </si>
  <si>
    <t>伊藤　慎二</t>
  </si>
  <si>
    <t>渡辺　章文</t>
  </si>
  <si>
    <t>粟屋　忠祐</t>
  </si>
  <si>
    <t>大口　泰助</t>
  </si>
  <si>
    <t>中川　豪</t>
  </si>
  <si>
    <t>金子　真也</t>
  </si>
  <si>
    <t>武田　晃</t>
  </si>
  <si>
    <t>江口　喜方</t>
  </si>
  <si>
    <t>平井　悠</t>
  </si>
  <si>
    <t>千葉　恭平</t>
  </si>
  <si>
    <t>整形外科、総合内科</t>
  </si>
  <si>
    <t>湊崎　和範</t>
  </si>
  <si>
    <t>田中　朗雄</t>
  </si>
  <si>
    <t>小山　晋一</t>
  </si>
  <si>
    <t>こやま整形外科・内科クリニック</t>
  </si>
  <si>
    <t>内科、整形外科</t>
  </si>
  <si>
    <t>おぎ皮膚科アレルギー科クリニック</t>
  </si>
  <si>
    <t>古川　陽介</t>
  </si>
  <si>
    <t>谷本　享生</t>
  </si>
  <si>
    <t>藤井　詩子</t>
  </si>
  <si>
    <t>埜田　和之</t>
  </si>
  <si>
    <t>内科、整形外科、リハビリテーション科</t>
  </si>
  <si>
    <t>越智眼科</t>
  </si>
  <si>
    <t>広島県公立大学法人　県立広島大学保健福祉学部附属診療所</t>
  </si>
  <si>
    <t>市村　徹</t>
  </si>
  <si>
    <t>鷲尾　一浩</t>
  </si>
  <si>
    <t>有近　重太</t>
  </si>
  <si>
    <t>医療法人増田ファミリークリニック</t>
  </si>
  <si>
    <t>藤田　豊明</t>
  </si>
  <si>
    <t>黒木　悟</t>
  </si>
  <si>
    <t>黒木眼科医院</t>
  </si>
  <si>
    <t>湯浅　久美</t>
  </si>
  <si>
    <t>医療法人　ゆあさ眼科</t>
  </si>
  <si>
    <t>村上　文美</t>
  </si>
  <si>
    <t>なかはまハートクリニック</t>
  </si>
  <si>
    <t>医療法人社団田中医院</t>
  </si>
  <si>
    <t>豊川　達也</t>
  </si>
  <si>
    <t>さともとクリニック</t>
  </si>
  <si>
    <t>医療法人社団岸本医院</t>
  </si>
  <si>
    <t>内科、リハビリテーション科</t>
  </si>
  <si>
    <t>医療法人高橋眼科</t>
  </si>
  <si>
    <t>岩崎　泰政</t>
  </si>
  <si>
    <t>小林　賢</t>
  </si>
  <si>
    <t>坂野　堯</t>
  </si>
  <si>
    <t>青木　博美</t>
  </si>
  <si>
    <t>福山市神辺町道上3004</t>
  </si>
  <si>
    <t>岩瀨　瑞恵</t>
  </si>
  <si>
    <t>久留島　秀治</t>
  </si>
  <si>
    <t>今井　茂郎</t>
  </si>
  <si>
    <t>下永病院</t>
  </si>
  <si>
    <t>大城　望史</t>
  </si>
  <si>
    <t>髙田　三郎</t>
  </si>
  <si>
    <t>内科、救急科</t>
  </si>
  <si>
    <t>渡　雅文</t>
  </si>
  <si>
    <t>神経内科、脳神経外科、リハビリテーション科</t>
  </si>
  <si>
    <t>医療法人社団花房眼科医院</t>
  </si>
  <si>
    <t>平櫛　恵太</t>
  </si>
  <si>
    <t>佐藤　理</t>
  </si>
  <si>
    <t>片村　嘉男</t>
  </si>
  <si>
    <t>上田　敏行</t>
  </si>
  <si>
    <t>医療法人岩崎皮ふ科・形成外科</t>
  </si>
  <si>
    <t>医療法人じけ駅前内科・糖尿病内科クリニック</t>
  </si>
  <si>
    <t>濱本　嘉昭</t>
  </si>
  <si>
    <t>髙島　郁博</t>
  </si>
  <si>
    <t>アレルギー科、耳鼻いんこう科、気管食道科</t>
  </si>
  <si>
    <t>東広島市黒瀬町兼広279</t>
  </si>
  <si>
    <t>勝岡　宏之</t>
  </si>
  <si>
    <t>藤原　延清</t>
  </si>
  <si>
    <t>呼吸器内科</t>
  </si>
  <si>
    <t>村岡　倫子</t>
  </si>
  <si>
    <t>若宮　真也</t>
  </si>
  <si>
    <t>藤野医院</t>
  </si>
  <si>
    <t>中島　浩一郎</t>
  </si>
  <si>
    <t>呼吸器外科</t>
  </si>
  <si>
    <t>田口脳心臓血管クリニック</t>
  </si>
  <si>
    <t>川合　徹</t>
  </si>
  <si>
    <t>志村　司</t>
  </si>
  <si>
    <t>梶山　晃雄</t>
  </si>
  <si>
    <t>医療法人たかば内科医院</t>
  </si>
  <si>
    <t>山田　清貴</t>
  </si>
  <si>
    <t>内科、老年精神科</t>
  </si>
  <si>
    <t>河野　政典</t>
  </si>
  <si>
    <t>内科、消化器内科、循環器内科</t>
  </si>
  <si>
    <t>増原　章</t>
  </si>
  <si>
    <t>内科、外科、リハビリテーション科、肛門外科、人工透析内科</t>
  </si>
  <si>
    <t>医療法人社団せがわ会千代田病院</t>
  </si>
  <si>
    <t>独立行政法人国立病院機構　東広島医療センター</t>
  </si>
  <si>
    <t>リウマチ科、外科、整形外科、リハビリテーション科、胃腸内科、肛門外科</t>
  </si>
  <si>
    <t>耳鼻いんこう科、頭頚部外科</t>
  </si>
  <si>
    <t>浅本　泰正</t>
  </si>
  <si>
    <t>医療法人新和会三次病院</t>
  </si>
  <si>
    <t>松本　秀</t>
  </si>
  <si>
    <t>三次市粟屋町1731</t>
  </si>
  <si>
    <t>大久保　剛</t>
  </si>
  <si>
    <t>太田　英敏</t>
  </si>
  <si>
    <t>北島　真紀子</t>
  </si>
  <si>
    <t>太田整形外科</t>
  </si>
  <si>
    <t>戸谷　誠二</t>
  </si>
  <si>
    <t>医療法人社団聖仁会戸谷医院</t>
  </si>
  <si>
    <t>宇田　慎一</t>
  </si>
  <si>
    <t>内科、小児科、腎臓内科</t>
  </si>
  <si>
    <t>医療法人社団裕仁会斉藤脳外科クリニック</t>
  </si>
  <si>
    <t>内科、精神科、神経内科、脳神経外科、リハビリテーション科</t>
  </si>
  <si>
    <t>大森　孝収</t>
  </si>
  <si>
    <t>田中　正宏</t>
  </si>
  <si>
    <t>山県郡北広島町今田3860</t>
  </si>
  <si>
    <t>内科、精神科、神経内科、リハビリテーション科</t>
  </si>
  <si>
    <t>生田　卓也</t>
  </si>
  <si>
    <t>ちかもり内科医院</t>
  </si>
  <si>
    <t>おおえ内科クリニック</t>
  </si>
  <si>
    <t>中井　肇</t>
  </si>
  <si>
    <t>光畑　直喜</t>
  </si>
  <si>
    <t>白﨑　義範</t>
  </si>
  <si>
    <t>村尾　智美</t>
  </si>
  <si>
    <t>中土井　鋼一</t>
  </si>
  <si>
    <t>浜崎　理</t>
  </si>
  <si>
    <t>實綿　慶</t>
  </si>
  <si>
    <t>にし耳鼻咽喉科クリニック</t>
  </si>
  <si>
    <t>松田　博</t>
  </si>
  <si>
    <t>東広島市八本松町飯田101</t>
  </si>
  <si>
    <t>内科、産婦人科</t>
  </si>
  <si>
    <t>森島　信行</t>
  </si>
  <si>
    <t>山邉　高司</t>
  </si>
  <si>
    <t>医療法人社団啓卯会村上記念病院</t>
  </si>
  <si>
    <t>來嶋　也寸無</t>
  </si>
  <si>
    <t>公立みつぎ総合病院</t>
  </si>
  <si>
    <t>尾道市御調町市124</t>
  </si>
  <si>
    <t>松林　滋</t>
  </si>
  <si>
    <t>松林レディースクリニック</t>
  </si>
  <si>
    <t>平田　賢三</t>
  </si>
  <si>
    <t>医療法人すこやか会森近内科</t>
  </si>
  <si>
    <t>平本　啓</t>
  </si>
  <si>
    <t>内科、消化器科、循環器科</t>
  </si>
  <si>
    <t>治田　精一</t>
  </si>
  <si>
    <t>原　忠之</t>
  </si>
  <si>
    <t>狹田　純</t>
  </si>
  <si>
    <t>益田　正美</t>
  </si>
  <si>
    <t>医療法人社団清流会双樹クリニック</t>
  </si>
  <si>
    <t>日谷　明江</t>
  </si>
  <si>
    <t>髙柿　尚始</t>
  </si>
  <si>
    <t>医療法人社団スマイルクレア焼山クリニック</t>
  </si>
  <si>
    <t>脳神経外科、リハビリテーション科、総合診療科</t>
  </si>
  <si>
    <t>公立下蒲刈病院</t>
  </si>
  <si>
    <t>呉市国民健康保険安浦診療所</t>
  </si>
  <si>
    <t>内藤内科医院</t>
  </si>
  <si>
    <t>腎臓内科</t>
  </si>
  <si>
    <t>大田　政史</t>
  </si>
  <si>
    <t>医療法人社団岡崎医院</t>
  </si>
  <si>
    <t>冨永　知</t>
  </si>
  <si>
    <t>医療法人大田整形外科</t>
  </si>
  <si>
    <t>リハビリテーション科、腎臓内科</t>
  </si>
  <si>
    <t>嶋谷　邦彦</t>
  </si>
  <si>
    <t>村田　年弘</t>
  </si>
  <si>
    <t>神経内科、脳神経外科</t>
  </si>
  <si>
    <t>松原　賢治</t>
  </si>
  <si>
    <t>丸林　誠二</t>
  </si>
  <si>
    <t>ふじさわ内科</t>
  </si>
  <si>
    <t>医療法人社団涼風会佐藤脳神経外科</t>
  </si>
  <si>
    <t>山尾医院</t>
  </si>
  <si>
    <t>釋舎　龍三</t>
  </si>
  <si>
    <t>加藤　幹</t>
  </si>
  <si>
    <t>医療法人武富眼科医院</t>
  </si>
  <si>
    <t>木村　亙</t>
  </si>
  <si>
    <t>内科、神経内科、外科、リハビリテーション科、消化器内科、循環器内科、肛門外科</t>
  </si>
  <si>
    <t>アレルギー科、耳鼻いんこう科、頭頸部外科</t>
  </si>
  <si>
    <t>なかた内科医院</t>
  </si>
  <si>
    <t>山本　篤志</t>
  </si>
  <si>
    <t>医療法人大和会西条ときわクリニック</t>
  </si>
  <si>
    <t>中條　進</t>
  </si>
  <si>
    <t>消化器内科ぺんぎんクリニック</t>
  </si>
  <si>
    <t>林　優子</t>
  </si>
  <si>
    <t>みぞて眼科</t>
  </si>
  <si>
    <t>やすかわ泌尿器科クリニック</t>
  </si>
  <si>
    <t>星谷　謙造</t>
  </si>
  <si>
    <t>のじまホームクリニック</t>
  </si>
  <si>
    <t>循環器科、小児科</t>
  </si>
  <si>
    <t>毛利　輝生</t>
  </si>
  <si>
    <t>こころのクリニックひまわり</t>
  </si>
  <si>
    <t>小出　真一郎</t>
  </si>
  <si>
    <t>立本　直邦</t>
  </si>
  <si>
    <t>医療法人社団玄同会小畠病院</t>
  </si>
  <si>
    <t>中央内科クリニック</t>
  </si>
  <si>
    <t>青江　尚志</t>
  </si>
  <si>
    <t>阿嶋　猛嘉</t>
  </si>
  <si>
    <t>水戸川　剛秀</t>
  </si>
  <si>
    <t>武田　昌</t>
  </si>
  <si>
    <t>山崎　真紀子</t>
  </si>
  <si>
    <t>小畠　敬太郎</t>
  </si>
  <si>
    <t>天野　純子</t>
  </si>
  <si>
    <t>藤田　仁志</t>
  </si>
  <si>
    <t>堀田　卓宏</t>
  </si>
  <si>
    <t>医療法人社団済井会福山光南クリニック</t>
  </si>
  <si>
    <t>大朝ふるさと病院</t>
  </si>
  <si>
    <t>児玉　光史</t>
  </si>
  <si>
    <t>医療法人おかざき泌尿器科クリニック</t>
  </si>
  <si>
    <t>福山市駅家町近田121</t>
  </si>
  <si>
    <t>浅田　備之</t>
  </si>
  <si>
    <t>村上　仁</t>
  </si>
  <si>
    <t>あさだ内科</t>
  </si>
  <si>
    <t>内科、消化器内科、呼吸器内科</t>
  </si>
  <si>
    <t>木村　敏久</t>
  </si>
  <si>
    <t>医療法人恵信会木村胃腸科病院</t>
  </si>
  <si>
    <t>おんじ内科クリニック</t>
  </si>
  <si>
    <t>藤原　寛樹</t>
  </si>
  <si>
    <t>呉市医師会病院</t>
  </si>
  <si>
    <t>山脇　泰秀</t>
  </si>
  <si>
    <t>医療法人社団小山田内科医院</t>
  </si>
  <si>
    <t>仁井谷　暁子</t>
  </si>
  <si>
    <t>下江　豊</t>
  </si>
  <si>
    <t>三原市医師会三原市医師会病院</t>
  </si>
  <si>
    <t>原　友太</t>
  </si>
  <si>
    <t>医療法人社団仁井谷医院にいたにクリニック</t>
  </si>
  <si>
    <t>仁井谷　学</t>
  </si>
  <si>
    <t>沖田　進司</t>
  </si>
  <si>
    <t>こじょう内科</t>
  </si>
  <si>
    <t>医療法人かわの内科胃腸科</t>
  </si>
  <si>
    <t>医療法人宇田内科リウマチ科</t>
  </si>
  <si>
    <t>藤原　雅親</t>
  </si>
  <si>
    <t>医療法人藤原内科医院</t>
  </si>
  <si>
    <t>下原　康彰</t>
  </si>
  <si>
    <t>医療法人心友会下原循環器内科クリニック</t>
  </si>
  <si>
    <t>大腸・肛門外科</t>
  </si>
  <si>
    <t>田部　康次</t>
  </si>
  <si>
    <t>吉田　敬</t>
  </si>
  <si>
    <t>細川　鎭史</t>
  </si>
  <si>
    <t>加藤　久佳</t>
  </si>
  <si>
    <t>片山　寿</t>
  </si>
  <si>
    <t>渡邉　昌樹</t>
  </si>
  <si>
    <t>消化器内科、肝臓内科</t>
  </si>
  <si>
    <t>小山田　健</t>
  </si>
  <si>
    <t>西条中央病院</t>
  </si>
  <si>
    <t>おおくぼ耳鼻咽喉科クリニック</t>
  </si>
  <si>
    <t>曽我　祐一郎</t>
  </si>
  <si>
    <t>氏家　一尋</t>
  </si>
  <si>
    <t>森川　健</t>
  </si>
  <si>
    <t>医療法人叙叙会福山第一病院</t>
  </si>
  <si>
    <t>福山市民病院</t>
  </si>
  <si>
    <t>医療法人杏竹会中島内科クリニック</t>
  </si>
  <si>
    <t>渡辺　公登</t>
  </si>
  <si>
    <t>田丸　弓弦</t>
  </si>
  <si>
    <t>川岡　孝一郎</t>
  </si>
  <si>
    <t>楠本　智章</t>
  </si>
  <si>
    <t>内科、アレルギー科、リウマチ科、呼吸器内科</t>
  </si>
  <si>
    <t>村下　純二</t>
  </si>
  <si>
    <t>卜部　祥明</t>
  </si>
  <si>
    <t>内科、消化器内科、肝臓内科</t>
  </si>
  <si>
    <t>庄原市国民健康保険総領診療所</t>
  </si>
  <si>
    <t>矢守　茂</t>
  </si>
  <si>
    <t>村上　純一</t>
  </si>
  <si>
    <t>村上泌尿器科内科医院</t>
  </si>
  <si>
    <t>神野　大輔</t>
  </si>
  <si>
    <t>津田　幹夫</t>
  </si>
  <si>
    <t>福山市沼隈町常石2635</t>
  </si>
  <si>
    <t>佐藤　克至</t>
  </si>
  <si>
    <t>医療法人社団石井外科診療所</t>
  </si>
  <si>
    <t>内科、アレルギー科、リウマチ科</t>
  </si>
  <si>
    <t>医療法人壽邦会深江長坂医院</t>
  </si>
  <si>
    <t>髙橋　一則</t>
  </si>
  <si>
    <t>杉本　龍士郎</t>
  </si>
  <si>
    <t>有安　哲哉</t>
  </si>
  <si>
    <t>静悠会コム・クリニック佐藤</t>
  </si>
  <si>
    <t>内科、外科、整形外科</t>
  </si>
  <si>
    <t>有安　由仁</t>
  </si>
  <si>
    <t>藤原　裕美</t>
  </si>
  <si>
    <t>大本　武児</t>
  </si>
  <si>
    <t>医療社団法人こどもクリニック八本松</t>
  </si>
  <si>
    <t>清水　弘毅</t>
  </si>
  <si>
    <t>森　保</t>
  </si>
  <si>
    <t>森皮ふ科アレルギー科</t>
  </si>
  <si>
    <t>宮田　明</t>
  </si>
  <si>
    <t>藤岡　正浩</t>
  </si>
  <si>
    <t>尾形　徹</t>
  </si>
  <si>
    <t>尾道市立市民病院</t>
  </si>
  <si>
    <t>髙橋　世行</t>
  </si>
  <si>
    <t>医療法人社団神田会木曽病院</t>
  </si>
  <si>
    <t>地方独立行政法人府中市病院機構　府中市民病院</t>
  </si>
  <si>
    <t>水野　将克</t>
  </si>
  <si>
    <t>精神科</t>
  </si>
  <si>
    <t>医療法人社団春陽会竹内耳鼻咽喉科</t>
  </si>
  <si>
    <t>則川　希貞</t>
  </si>
  <si>
    <t>久傳　康史</t>
  </si>
  <si>
    <t>のりかわ眼科クリニック</t>
  </si>
  <si>
    <t>國吉　毅</t>
  </si>
  <si>
    <t>医療法人岡本内科消化器科</t>
  </si>
  <si>
    <t>井藤　久雄</t>
  </si>
  <si>
    <t>東広島市黒瀬町兼広138</t>
  </si>
  <si>
    <t>真辺　和文</t>
  </si>
  <si>
    <t>社会医療法人社団沼南会　沼隈病院</t>
  </si>
  <si>
    <t>東広島市黒瀬町兼広137</t>
  </si>
  <si>
    <t>山崎　弘幸</t>
  </si>
  <si>
    <t>水関　隆也</t>
  </si>
  <si>
    <t>糖尿病内科</t>
  </si>
  <si>
    <t>重岡　尚也</t>
  </si>
  <si>
    <t>岡　伸一</t>
  </si>
  <si>
    <t>東広島市西条町寺家4720</t>
  </si>
  <si>
    <t>東広島市安芸津町三津4388</t>
  </si>
  <si>
    <t>清水　智久</t>
  </si>
  <si>
    <t>中邑　祥博</t>
  </si>
  <si>
    <t>黒崎　達也</t>
  </si>
  <si>
    <t>柳　優子</t>
  </si>
  <si>
    <t>独立行政法人国立病院機構　広島西医療センター</t>
  </si>
  <si>
    <t>牧野　恭子</t>
  </si>
  <si>
    <t>根木　宏</t>
  </si>
  <si>
    <t>医療法人社団慶寿会千代田中央病院</t>
  </si>
  <si>
    <t>踊場　朋美</t>
  </si>
  <si>
    <t>淺野　耕助</t>
  </si>
  <si>
    <t>医療法人社団翠明会藤田医院</t>
  </si>
  <si>
    <t>三好　啓治</t>
  </si>
  <si>
    <t>鮫島　克佳</t>
  </si>
  <si>
    <t>下村　壮司</t>
  </si>
  <si>
    <t>吉川　幸伸</t>
  </si>
  <si>
    <t>医療法人社団成和会うたのはら整形外科クリニック</t>
  </si>
  <si>
    <t>市立三次中央病院</t>
  </si>
  <si>
    <t>病理診断科</t>
  </si>
  <si>
    <t>医療法人社団河野眼科</t>
  </si>
  <si>
    <t>医療法人豊永会　小林医院</t>
  </si>
  <si>
    <t>藤原　仁</t>
  </si>
  <si>
    <t>宗正　昌三</t>
  </si>
  <si>
    <t>奥平　信義</t>
  </si>
  <si>
    <t>高畠　周</t>
  </si>
  <si>
    <t>内科、腎臓内科</t>
  </si>
  <si>
    <t>医療法人刀圭会諫見内科眼科医院</t>
  </si>
  <si>
    <t>医療法人福原内科胃腸科</t>
  </si>
  <si>
    <t>村上　敬子</t>
  </si>
  <si>
    <t>栗原　啓介</t>
  </si>
  <si>
    <t>石井　芳樹</t>
  </si>
  <si>
    <t>北村　悟</t>
  </si>
  <si>
    <t>内科、神経内科、呼吸器科、消化器科、循環器科、リハビリテーション科、放射線科</t>
  </si>
  <si>
    <t>内分泌・糖尿病内科</t>
  </si>
  <si>
    <t>広島県厚生農業協同組合連合会　尾道総合病院</t>
  </si>
  <si>
    <t>狩野　岳士</t>
  </si>
  <si>
    <t>医療法人辰川会山陽病院</t>
  </si>
  <si>
    <t>社会医療法人定和会神原病院</t>
  </si>
  <si>
    <t>きらきらこどもクリニック</t>
  </si>
  <si>
    <t>渡邊　弘司</t>
  </si>
  <si>
    <t>備北眼科</t>
  </si>
  <si>
    <t>三浦　敏夫</t>
  </si>
  <si>
    <t>医療法人松尾内科・循環器内科クリニック</t>
  </si>
  <si>
    <t>小川　龍之介</t>
  </si>
  <si>
    <t>消化器科、外科</t>
  </si>
  <si>
    <t>木阪　義彦</t>
  </si>
  <si>
    <t>高梨　敦</t>
  </si>
  <si>
    <t>川原　竜司</t>
  </si>
  <si>
    <t>長沖　祐子</t>
  </si>
  <si>
    <t>かわはらこどもクリニック</t>
  </si>
  <si>
    <t>医療法人社団有信会呉記念病院</t>
  </si>
  <si>
    <t>尾道市栗原町11482</t>
  </si>
  <si>
    <t>医療法人社団有信会呉記念クリニック</t>
  </si>
  <si>
    <t>結城　常譜</t>
  </si>
  <si>
    <t>越智　利行</t>
  </si>
  <si>
    <t>朝比奈　恵美</t>
  </si>
  <si>
    <t>江藤　久志</t>
  </si>
  <si>
    <t>神原　浩</t>
  </si>
  <si>
    <t>福山市赤坂町赤坂1313</t>
  </si>
  <si>
    <t>中村　紀明</t>
  </si>
  <si>
    <t>渡辺小児科循環器科クリニック</t>
  </si>
  <si>
    <t>花畑　哲郎</t>
  </si>
  <si>
    <t>河野　正明</t>
  </si>
  <si>
    <t>医療法人社団仁慈会安田病院</t>
  </si>
  <si>
    <t>心療内科</t>
  </si>
  <si>
    <t>さゆりクリニック</t>
  </si>
  <si>
    <t>寺岡　暉</t>
  </si>
  <si>
    <t>宮本　正</t>
  </si>
  <si>
    <t>医療法人社団みめぐみ会サンクリニック</t>
  </si>
  <si>
    <t>尾野　里奈</t>
  </si>
  <si>
    <t>高橋　雅己</t>
  </si>
  <si>
    <t>戸田　博子</t>
  </si>
  <si>
    <t>三森　康世</t>
  </si>
  <si>
    <t>内科、小児科、外科、リハビリテーション科、消化器内科、循環器内科、肛門外科</t>
  </si>
  <si>
    <t>日本鋼管福山病院</t>
  </si>
  <si>
    <t>安信　祐治</t>
  </si>
  <si>
    <t>じあん眼科</t>
  </si>
  <si>
    <t>石木　邦治</t>
  </si>
  <si>
    <t>福山市大門町津之下1844</t>
  </si>
  <si>
    <t>奥野　哲二</t>
  </si>
  <si>
    <t>真鍋　憲幸</t>
  </si>
  <si>
    <t>三菱ケミカル株式会社広島事業所診療所</t>
  </si>
  <si>
    <t>渡邉　哲也</t>
  </si>
  <si>
    <t>もりかわ内科クリニック</t>
  </si>
  <si>
    <t>中原　雅浩</t>
  </si>
  <si>
    <t>内田　陽一郎</t>
  </si>
  <si>
    <t>髙原　康弘</t>
  </si>
  <si>
    <t>木村　邦夫</t>
  </si>
  <si>
    <t>浜田　史洋</t>
  </si>
  <si>
    <t>夏　恒治</t>
  </si>
  <si>
    <t>佐藤　秀</t>
  </si>
  <si>
    <t>及川　和郎</t>
  </si>
  <si>
    <t>医療法人田渕皮膚科医院</t>
  </si>
  <si>
    <t>城原　直樹</t>
  </si>
  <si>
    <t>城原胃腸科整形外科</t>
  </si>
  <si>
    <t>公立世羅中央病院</t>
  </si>
  <si>
    <t>竹林　秀雄</t>
  </si>
  <si>
    <t>医療法人社団親心会小西脳外科内科医院</t>
  </si>
  <si>
    <t>坪井　和彦</t>
  </si>
  <si>
    <t>医療法人社団仁風会青木病院</t>
  </si>
  <si>
    <t>小児外科</t>
  </si>
  <si>
    <t>世羅　康彦</t>
  </si>
  <si>
    <t>松坂　貫太郎</t>
  </si>
  <si>
    <t>医療法人社団永田内科</t>
  </si>
  <si>
    <t>中村　雄二</t>
  </si>
  <si>
    <t>尾道市高須町2694</t>
  </si>
  <si>
    <t>石﨑　康代</t>
  </si>
  <si>
    <t>庄賀　一彦</t>
  </si>
  <si>
    <t>医療法人社団慈杏会土肥整形外科病院</t>
  </si>
  <si>
    <t>医療法人瑠璃光会　山田脳神経外科</t>
  </si>
  <si>
    <t>重症心身障害児施設ときわ呉</t>
  </si>
  <si>
    <t>青木　孝</t>
  </si>
  <si>
    <t>のぞみ整形外科クリニック西条</t>
  </si>
  <si>
    <t>宮本　欣倫</t>
  </si>
  <si>
    <t>笠井　裕</t>
  </si>
  <si>
    <t>豊田郡大崎上島町沖浦1001</t>
  </si>
  <si>
    <t>貴船　誠二</t>
  </si>
  <si>
    <t>田頭　誠</t>
  </si>
  <si>
    <t>住元整形外科医院</t>
  </si>
  <si>
    <t>花田　敬士</t>
  </si>
  <si>
    <t>小野川　靖二</t>
  </si>
  <si>
    <t>廣畑　泰三</t>
  </si>
  <si>
    <t>中山　博之</t>
  </si>
  <si>
    <t>武田　哲郎</t>
  </si>
  <si>
    <t>江﨑　隆</t>
  </si>
  <si>
    <t>尾形　聡</t>
  </si>
  <si>
    <t>田中　恒</t>
  </si>
  <si>
    <t>山県郡北広島町有田1192</t>
  </si>
  <si>
    <t>宮河小児科医院</t>
  </si>
  <si>
    <t>向田　邦俊</t>
  </si>
  <si>
    <t>耳鼻咽喉・頭頸部外科</t>
  </si>
  <si>
    <t>艮　雄一郎</t>
  </si>
  <si>
    <t>五石　宏和</t>
  </si>
  <si>
    <t>内視鏡内科</t>
  </si>
  <si>
    <t>外科、臨床検査科</t>
  </si>
  <si>
    <t>三木　健太郎</t>
  </si>
  <si>
    <t>徳永医院</t>
  </si>
  <si>
    <t>市頭　教克</t>
  </si>
  <si>
    <t>中山　泰典</t>
  </si>
  <si>
    <t>三原城町病院</t>
  </si>
  <si>
    <t>小林　平</t>
  </si>
  <si>
    <t>寺井　祐司</t>
  </si>
  <si>
    <t>髙橋　健司</t>
  </si>
  <si>
    <t>医療法人ハートフルあまのクリニック</t>
  </si>
  <si>
    <t>坂井　賢哉</t>
  </si>
  <si>
    <t>寺元　秀文</t>
  </si>
  <si>
    <t>土肥　俊一郎</t>
  </si>
  <si>
    <t>杉野　浩</t>
  </si>
  <si>
    <t>白根　雅子</t>
  </si>
  <si>
    <t>寺岡　俊人</t>
  </si>
  <si>
    <t>住元　吉明</t>
  </si>
  <si>
    <t>日野　二郎</t>
  </si>
  <si>
    <t>山田　大介</t>
  </si>
  <si>
    <t>医療法人社団葵会八本松病院</t>
  </si>
  <si>
    <t>医療法人社団藤田小児科内科医院</t>
  </si>
  <si>
    <t>医療法人　井之川眼科医院</t>
  </si>
  <si>
    <t>西脇　彩</t>
  </si>
  <si>
    <t>向井　皇</t>
  </si>
  <si>
    <t>いとう腎・泌尿器科クリニック</t>
  </si>
  <si>
    <t>内田　圭治</t>
  </si>
  <si>
    <t>マツダ株式会社マツダ病院</t>
  </si>
  <si>
    <t>岡村　緑</t>
  </si>
  <si>
    <t>中川　裕貴</t>
  </si>
  <si>
    <t>代謝内科</t>
  </si>
  <si>
    <t>岡本　志朗</t>
  </si>
  <si>
    <t>田村　徹</t>
  </si>
  <si>
    <t>大西　理乃</t>
  </si>
  <si>
    <t>医療法人久山内科医院</t>
  </si>
  <si>
    <t>小林　友哉</t>
  </si>
  <si>
    <t>かめだファミリークリニック</t>
  </si>
  <si>
    <t>坂部　龍太郎</t>
  </si>
  <si>
    <t>羽田野　直人</t>
  </si>
  <si>
    <t>地方独立行政法人府中市病院機構府中北市民病院</t>
  </si>
  <si>
    <t>髙橋　宏幸</t>
  </si>
  <si>
    <t>呉中央クリニック整形外科</t>
  </si>
  <si>
    <t>寺坂　薫</t>
  </si>
  <si>
    <t>医療法人社団坂上整形外科クリニック</t>
  </si>
  <si>
    <t>友弘　康之</t>
  </si>
  <si>
    <t>杉医院</t>
  </si>
  <si>
    <t>太田　茂</t>
  </si>
  <si>
    <t>野間　文次郎</t>
  </si>
  <si>
    <t>畠山　剛</t>
  </si>
  <si>
    <t>医療法人社団藤原医院</t>
  </si>
  <si>
    <t>松本　理恵</t>
  </si>
  <si>
    <t>社会医療法人祥和会沖野上クリニック</t>
  </si>
  <si>
    <t>たなべ内科クリニック</t>
  </si>
  <si>
    <t>山田　謙慈</t>
  </si>
  <si>
    <t>医療法人社団ひかり会焼山木村眼科</t>
  </si>
  <si>
    <t>内科、胃腸科、外科、整形外科、皮膚科、リハビリテーション科</t>
  </si>
  <si>
    <t>貞本　由美</t>
  </si>
  <si>
    <t>東広島市西条町寺家1633</t>
  </si>
  <si>
    <t>辻　英之</t>
  </si>
  <si>
    <t>総合病院三原赤十字病院</t>
  </si>
  <si>
    <t>原　清吾</t>
  </si>
  <si>
    <t>日立造船健康保険組合因島総合病院</t>
  </si>
  <si>
    <t>上山　聰</t>
  </si>
  <si>
    <t>福田　裕恭</t>
  </si>
  <si>
    <t>川口　稔</t>
  </si>
  <si>
    <t>光野　彩子</t>
  </si>
  <si>
    <t>医療法人津田産婦人科クリニック</t>
  </si>
  <si>
    <t>菊地　武志</t>
  </si>
  <si>
    <t>坂本　千穂子</t>
  </si>
  <si>
    <t>渡邊　哲彦</t>
  </si>
  <si>
    <t>首藤　毅</t>
  </si>
  <si>
    <t>松尾　洋一郎</t>
  </si>
  <si>
    <t>わたなべクリニック</t>
  </si>
  <si>
    <t>海野　剛</t>
  </si>
  <si>
    <t>医療法人東和会小林病院</t>
  </si>
  <si>
    <t>福原　啓子</t>
  </si>
  <si>
    <t>小林　芳人</t>
  </si>
  <si>
    <t>藤井　秀昭</t>
  </si>
  <si>
    <t>今川　宏樹</t>
  </si>
  <si>
    <t>尾道市瀬戸田町中野400</t>
  </si>
  <si>
    <t>医療法人杏仁会松尾内科病院</t>
  </si>
  <si>
    <t>島の病院おおたに</t>
  </si>
  <si>
    <t>春田　祐郎</t>
  </si>
  <si>
    <t>内科、呼吸器科、消化器科、循環器科、リハビリテーション科、放射線科</t>
  </si>
  <si>
    <t>平松　万尚</t>
  </si>
  <si>
    <t>山本病院</t>
  </si>
  <si>
    <t>尾道市高須町735</t>
  </si>
  <si>
    <t>河野　晋久</t>
  </si>
  <si>
    <t>医療法人社団仁寿会こうの医院</t>
  </si>
  <si>
    <t>内科、小児科、循環器内科</t>
  </si>
  <si>
    <t>志田原　泰夫</t>
  </si>
  <si>
    <t>しだはらクリニック</t>
  </si>
  <si>
    <t>保田　健太郎</t>
  </si>
  <si>
    <t>板阪　和雅</t>
  </si>
  <si>
    <t>桒島　利江子</t>
  </si>
  <si>
    <t>医療法人社団仁清会康成病院</t>
  </si>
  <si>
    <t>東広島市黒瀬町楢原757</t>
  </si>
  <si>
    <t>小林　真依子</t>
  </si>
  <si>
    <t>鈴木　崇久</t>
  </si>
  <si>
    <t>小児心療内科</t>
  </si>
  <si>
    <t>谷村　尚俊</t>
  </si>
  <si>
    <t>ひろまち眼科</t>
  </si>
  <si>
    <t>松尾　修介</t>
  </si>
  <si>
    <t>廿日市市大野72</t>
  </si>
  <si>
    <t>岡橋　誠</t>
  </si>
  <si>
    <t>鈴木　修身</t>
  </si>
  <si>
    <t>橋本　貴士</t>
  </si>
  <si>
    <t>服部　宜裕</t>
  </si>
  <si>
    <t>日置　里織</t>
  </si>
  <si>
    <t>大田　泰正</t>
  </si>
  <si>
    <t>高松　和弘</t>
  </si>
  <si>
    <t>内科、小児科、放射線科</t>
  </si>
  <si>
    <t>明神館クリニック</t>
  </si>
  <si>
    <t>医療法人社団古吉眼科医院</t>
  </si>
  <si>
    <t>岡本　美由紀</t>
  </si>
  <si>
    <t>大田　慎三</t>
  </si>
  <si>
    <t>脊椎脊髄外科</t>
  </si>
  <si>
    <t>佐々木　昌也</t>
  </si>
  <si>
    <t>医療法人社団光羅会藤原眼科</t>
  </si>
  <si>
    <t>諏訪　勝保</t>
  </si>
  <si>
    <t>総合病院庄原赤十字病院</t>
  </si>
  <si>
    <t>鎌田　耕治</t>
  </si>
  <si>
    <t>立川　隆治</t>
  </si>
  <si>
    <t>馬渡　英夫</t>
  </si>
  <si>
    <t>片岡　雅明</t>
  </si>
  <si>
    <t>江口　恭慈</t>
  </si>
  <si>
    <t>城戸　由紀子</t>
  </si>
  <si>
    <t>小林　愛沙</t>
  </si>
  <si>
    <t>尾道市立市民病院附属瀬戸田診療所</t>
  </si>
  <si>
    <t>森川　民也</t>
  </si>
  <si>
    <t>河野　玲華</t>
  </si>
  <si>
    <t>高嶌　寛年</t>
  </si>
  <si>
    <t>水之江　知哉</t>
  </si>
  <si>
    <t>木曽　伸浩</t>
  </si>
  <si>
    <t>磯部　尚幸</t>
  </si>
  <si>
    <t>大屋　敏秀</t>
  </si>
  <si>
    <t>小林　博文</t>
  </si>
  <si>
    <t>社会福祉法人恩賜財団済生会支部広島県済生会　済生会広島病院</t>
  </si>
  <si>
    <t>巻幡　清</t>
  </si>
  <si>
    <t>医療法人社団田熊巻幡医院まきはたクリニック</t>
  </si>
  <si>
    <t>本田　誠四郎</t>
  </si>
  <si>
    <t>こころ尾道駅前クリニック</t>
  </si>
  <si>
    <t>内科、呼吸器科、小児科</t>
  </si>
  <si>
    <t>玉川　孝太郎</t>
  </si>
  <si>
    <t>医療法人玉川クリニック玉川内科アレルギー科クリニック</t>
  </si>
  <si>
    <t>八木　正人</t>
  </si>
  <si>
    <t>繁田　正信</t>
  </si>
  <si>
    <t>公立学校共済組合　中国中央病院</t>
  </si>
  <si>
    <t>安井　雅人</t>
  </si>
  <si>
    <t>平田　教至</t>
  </si>
  <si>
    <t>平松　武</t>
  </si>
  <si>
    <t>梶川　隆</t>
  </si>
  <si>
    <t>土田　恭幸</t>
  </si>
  <si>
    <t>薄井　昭博</t>
  </si>
  <si>
    <t>山本　頼正</t>
  </si>
  <si>
    <t>近藤　啓太</t>
  </si>
  <si>
    <t>医療法人こばやし眼科</t>
  </si>
  <si>
    <t>医療法人　佐々木内科・呼吸器科クリニック</t>
  </si>
  <si>
    <t>藤本　清一</t>
  </si>
  <si>
    <t>池田　元洋</t>
  </si>
  <si>
    <t>岡田　俊明</t>
  </si>
  <si>
    <t>後藤　俊彦</t>
  </si>
  <si>
    <t>村上　勝彦</t>
  </si>
  <si>
    <t>田中　清人</t>
  </si>
  <si>
    <t>大多和　泰幸</t>
  </si>
  <si>
    <t>藤澤　智雄</t>
  </si>
  <si>
    <t>武田　昌治</t>
  </si>
  <si>
    <t>和久　利彦</t>
  </si>
  <si>
    <t>きむら耳鼻咽喉科クリニック</t>
  </si>
  <si>
    <t>佐藤　茂樹</t>
  </si>
  <si>
    <t>澤野　邦彦</t>
  </si>
  <si>
    <t>明石内科クリニック</t>
  </si>
  <si>
    <t>小林　史典</t>
  </si>
  <si>
    <t>安原　伸吾</t>
  </si>
  <si>
    <t>菊地内科</t>
  </si>
  <si>
    <t>坂野　成宏</t>
  </si>
  <si>
    <t>安藤　由智</t>
  </si>
  <si>
    <t>山本　昌彦</t>
  </si>
  <si>
    <t>湯川　岳夫</t>
  </si>
  <si>
    <t>内科、リハビリテーション科、循環器内科、腎臓内科、透析内科</t>
  </si>
  <si>
    <t>木村　直人</t>
  </si>
  <si>
    <t>下田　浩子</t>
  </si>
  <si>
    <t>土肥　由裕</t>
  </si>
  <si>
    <t>松尾　晃樹</t>
  </si>
  <si>
    <t>好川　基大</t>
  </si>
  <si>
    <t>内科、神経内科、外科、整形外科、リハビリテーション科、消化器内科、循環器内科、肛門外科</t>
  </si>
  <si>
    <t>富永　毅彦</t>
  </si>
  <si>
    <t>小田　賀明</t>
  </si>
  <si>
    <t>濱田　博重</t>
  </si>
  <si>
    <t>小鶴　俊郎</t>
  </si>
  <si>
    <t>中山　雅雄</t>
  </si>
  <si>
    <t>平田内科小児科医院</t>
  </si>
  <si>
    <t>佐藤　克敏</t>
  </si>
  <si>
    <t>今田　英明</t>
  </si>
  <si>
    <t>柴田　諭</t>
  </si>
  <si>
    <t>嶋田　博光</t>
  </si>
  <si>
    <t>原クリニック東広島</t>
  </si>
  <si>
    <t>右田　圭介</t>
  </si>
  <si>
    <t>櫻クリニック</t>
  </si>
  <si>
    <t>脳神経外科、脳神経内科</t>
  </si>
  <si>
    <t>寺本　秀樹</t>
  </si>
  <si>
    <t>佐川　麻衣子</t>
  </si>
  <si>
    <t>医療法人徹慈会春日クリニック</t>
  </si>
  <si>
    <t>下永　貴司</t>
  </si>
  <si>
    <t>北村　健</t>
  </si>
  <si>
    <t>藤野　啓太</t>
  </si>
  <si>
    <t>岩本　立</t>
  </si>
  <si>
    <t>河合　良成</t>
  </si>
  <si>
    <t>藤﨑　成至</t>
  </si>
  <si>
    <t>實綿　倫宏</t>
  </si>
  <si>
    <t>田澤　宏文</t>
  </si>
  <si>
    <t>笹重　善朗</t>
  </si>
  <si>
    <t>益田　泰次</t>
  </si>
  <si>
    <t>医療法人社団法宗会法宗医院</t>
  </si>
  <si>
    <t>藤本　英作</t>
  </si>
  <si>
    <t>熊野　潔</t>
  </si>
  <si>
    <t>橋本　尚美</t>
  </si>
  <si>
    <t>野村　奈穂</t>
  </si>
  <si>
    <t>山本　暖</t>
  </si>
  <si>
    <t>酒井　浩</t>
  </si>
  <si>
    <t>小林　加直</t>
  </si>
  <si>
    <t>井谷　智</t>
  </si>
  <si>
    <t>児玉　英章</t>
  </si>
  <si>
    <t>藤原　久也</t>
  </si>
  <si>
    <t>産科、婦人科</t>
  </si>
  <si>
    <t>木村　隆広</t>
  </si>
  <si>
    <t>松本　芳則</t>
  </si>
  <si>
    <t>豊田　章宏</t>
  </si>
  <si>
    <t>正化　圭介</t>
  </si>
  <si>
    <t>医療法人社団豊仁会三原医院　みはら眼科みなみざおうクリニック</t>
  </si>
  <si>
    <t>細木　瑞穂</t>
  </si>
  <si>
    <t>江田島市能美町中町4711</t>
  </si>
  <si>
    <t>卜部　智重</t>
  </si>
  <si>
    <t>まきこ眼科クリニック</t>
  </si>
  <si>
    <t>表　静馬</t>
  </si>
  <si>
    <t>三次市国民健康保険作木診療所</t>
  </si>
  <si>
    <t>平田　大三郎</t>
  </si>
  <si>
    <t>住居　晃太郎</t>
  </si>
  <si>
    <t>宇髙　潤</t>
  </si>
  <si>
    <t>黒田　剛</t>
  </si>
  <si>
    <t>大成　洋二郎</t>
  </si>
  <si>
    <t>林谷　康生</t>
  </si>
  <si>
    <t>山﨑　力</t>
  </si>
  <si>
    <t>鈴木　武彦</t>
  </si>
  <si>
    <t>府中みのりクリニック</t>
  </si>
  <si>
    <t>山本　康弘</t>
  </si>
  <si>
    <t>西垣　愼一</t>
  </si>
  <si>
    <t>山下　久幾</t>
  </si>
  <si>
    <t>瀬分　均</t>
  </si>
  <si>
    <t>山下ケアクリニック</t>
  </si>
  <si>
    <t>小林　道男</t>
  </si>
  <si>
    <t>東広島市黒瀬町兼広140</t>
  </si>
  <si>
    <t>吉良　臣介</t>
  </si>
  <si>
    <t>中島　英勝</t>
  </si>
  <si>
    <t>永原　靖浩</t>
  </si>
  <si>
    <t>永原内科クリニック</t>
  </si>
  <si>
    <t>荘川　知己</t>
  </si>
  <si>
    <t>くるしま内科循環器クリニック</t>
  </si>
  <si>
    <t>藤本　佳史</t>
  </si>
  <si>
    <t>古土井　明</t>
  </si>
  <si>
    <t>岡畠　宏易</t>
  </si>
  <si>
    <t>龍田　浩</t>
  </si>
  <si>
    <t>戸田眼科東広島クリニック</t>
  </si>
  <si>
    <t>内科、胃腸科、外科、肛門科</t>
  </si>
  <si>
    <t>小松クリニック</t>
  </si>
  <si>
    <t>片岡　幹男</t>
  </si>
  <si>
    <t>森田　悟</t>
  </si>
  <si>
    <t>豊田　尚之</t>
  </si>
  <si>
    <t>医療法人社団薫風会　横山病院</t>
  </si>
  <si>
    <t>医療法人社団精彩会土橋内科医院</t>
  </si>
  <si>
    <t>福本　拓治</t>
  </si>
  <si>
    <t>栗田　茂顕</t>
  </si>
  <si>
    <t>医療法人財団竹政会セントラル病院</t>
  </si>
  <si>
    <t>大塚　眞哉</t>
  </si>
  <si>
    <t>中尾　精治</t>
  </si>
  <si>
    <t>胃腸・内視鏡外科</t>
  </si>
  <si>
    <t>産科</t>
  </si>
  <si>
    <t>兼安　祐子</t>
  </si>
  <si>
    <t>有木　則文</t>
  </si>
  <si>
    <t>金吉　俊彦</t>
  </si>
  <si>
    <t>東川　俊彦</t>
  </si>
  <si>
    <t>北田　浩二</t>
  </si>
  <si>
    <t>肝臓・胆のう・膵臓外科</t>
  </si>
  <si>
    <t>独立行政法人国立病院機構　福山医療センター</t>
  </si>
  <si>
    <t>玄馬　顕一</t>
  </si>
  <si>
    <t>医療法人社団ワイ・エス・ケー心和会重信医院</t>
  </si>
  <si>
    <t>坂田　達朗</t>
  </si>
  <si>
    <t>消化器内科、肝臓内科、HIV診療科</t>
  </si>
  <si>
    <t>渡邉　隆之</t>
  </si>
  <si>
    <t>竹本　俊二</t>
  </si>
  <si>
    <t>常光　洋輔</t>
  </si>
  <si>
    <t>食道・胃腸外科</t>
  </si>
  <si>
    <t>中谷　宏章</t>
  </si>
  <si>
    <t>糖尿病代謝内科</t>
  </si>
  <si>
    <t>長谷川　泰久</t>
  </si>
  <si>
    <t>濱野　亮輔</t>
  </si>
  <si>
    <t>德永　忠浩</t>
  </si>
  <si>
    <t>藤田　勲生</t>
  </si>
  <si>
    <t>松下　具敬</t>
  </si>
  <si>
    <t>山田　敬子</t>
  </si>
  <si>
    <t>水谷　雅己</t>
  </si>
  <si>
    <t>宮本　克利</t>
  </si>
  <si>
    <t>高橋　健治</t>
  </si>
  <si>
    <t>日高　裕士</t>
  </si>
  <si>
    <t>尾道市因島中庄町1962</t>
  </si>
  <si>
    <t>岩川　佳佑</t>
  </si>
  <si>
    <t>脳神経外科、心臓血管外科、循環器内科</t>
  </si>
  <si>
    <t>平本　博文</t>
  </si>
  <si>
    <t>松浦　求樹</t>
  </si>
  <si>
    <t>神経内科、リハビリテーション科、放射線科、肝臓内科、糖尿病内科、呼吸器内科、心臓・循環器内科，膵臓・胆嚢内科，胃腸・内視鏡内科，消化器内科，脳神経内科</t>
  </si>
  <si>
    <t>上田　祐也</t>
  </si>
  <si>
    <t>河島　充私子</t>
  </si>
  <si>
    <t>住井内科</t>
  </si>
  <si>
    <t>川西医院</t>
  </si>
  <si>
    <t>中丸　光昭</t>
  </si>
  <si>
    <t>ふじもり医院</t>
  </si>
  <si>
    <t>鳥居　剛</t>
  </si>
  <si>
    <t>せきとう内科消化器科クリニック</t>
  </si>
  <si>
    <t>平田　優子</t>
  </si>
  <si>
    <t>医療法人西亀会みつの内科消化器科クリニック</t>
  </si>
  <si>
    <t>小林　博夫</t>
  </si>
  <si>
    <t>豊田　敏秀</t>
  </si>
  <si>
    <t>宇田　征史</t>
  </si>
  <si>
    <t>医療法人社団広畑内科広畑内科・もり皮膚科</t>
  </si>
  <si>
    <t>医療法人社団国原医院</t>
  </si>
  <si>
    <t>医療法人社団みやの耳鼻咽喉科</t>
  </si>
  <si>
    <t>尾道市高須町5737</t>
  </si>
  <si>
    <t>大熊　隆明</t>
  </si>
  <si>
    <t>田中　宏志</t>
  </si>
  <si>
    <t>腎臓内科、内分泌・代謝内科</t>
  </si>
  <si>
    <t>服部　文子</t>
  </si>
  <si>
    <t>西川　敏雄</t>
  </si>
  <si>
    <t>井上病院</t>
  </si>
  <si>
    <t>呼吸器科、消化器科</t>
  </si>
  <si>
    <t>亀川　陸雄</t>
  </si>
  <si>
    <t>亀川　禎央</t>
  </si>
  <si>
    <t>柳津にしきおり眼科</t>
  </si>
  <si>
    <t>医療法人明和会北広島病院</t>
  </si>
  <si>
    <t>藤井　功</t>
  </si>
  <si>
    <t>医療法人社団こうろ皮ふ科</t>
  </si>
  <si>
    <t>安芸高田やちよクリニック</t>
  </si>
  <si>
    <t>柚木　利紀</t>
  </si>
  <si>
    <t>林　瑠衣子</t>
  </si>
  <si>
    <t>桑原　正樹</t>
  </si>
  <si>
    <t>北村　樹里</t>
  </si>
  <si>
    <t>横山　貴一</t>
  </si>
  <si>
    <t>稲葉　義郎</t>
  </si>
  <si>
    <t>佐藤内科クリニック</t>
  </si>
  <si>
    <t>小児科、消化器内科</t>
  </si>
  <si>
    <t>水永リハビリテーション病院</t>
  </si>
  <si>
    <t>水谷　章子</t>
  </si>
  <si>
    <t>網岡　愛</t>
  </si>
  <si>
    <t>湯河　良之</t>
  </si>
  <si>
    <t>医療法人社団慈成会武井胃腸科内科</t>
  </si>
  <si>
    <t>内科、泌尿器科、腎臓内科、透析内科</t>
  </si>
  <si>
    <t>長尾　正嗣</t>
  </si>
  <si>
    <t>溝口　信行</t>
  </si>
  <si>
    <t>前原　敬悟</t>
  </si>
  <si>
    <t>すくすくキッズクリニック</t>
  </si>
  <si>
    <t>医療法人社団杏愛会高橋医院</t>
  </si>
  <si>
    <t>三浦　弘之</t>
  </si>
  <si>
    <t>三浦医院</t>
  </si>
  <si>
    <t>島谷　英明</t>
  </si>
  <si>
    <t>豊田　和広</t>
  </si>
  <si>
    <t>森　晶子</t>
  </si>
  <si>
    <t>かわごえクリニック</t>
  </si>
  <si>
    <t>医療法人財団竹政会福山循環器病院</t>
  </si>
  <si>
    <t>菅　達人</t>
  </si>
  <si>
    <t>向井　省吾</t>
  </si>
  <si>
    <t>内科、呼吸器科、循環器科、アレルギー科</t>
  </si>
  <si>
    <t>平松　茂樹</t>
  </si>
  <si>
    <t>後藤　賢治</t>
  </si>
  <si>
    <t>谷口　将人</t>
  </si>
  <si>
    <t>佐藤　克政</t>
  </si>
  <si>
    <t>菊田　雄悦</t>
  </si>
  <si>
    <t>池田　篤司</t>
  </si>
  <si>
    <t>古吉　三紀</t>
  </si>
  <si>
    <t>古吉　直彦</t>
  </si>
  <si>
    <t>小山　幹夫</t>
  </si>
  <si>
    <t>小山整形外科医院</t>
  </si>
  <si>
    <t>大枝　忠史</t>
  </si>
  <si>
    <t>松浦　渉</t>
  </si>
  <si>
    <t>山中　威彦</t>
  </si>
  <si>
    <t>髙見　浩</t>
  </si>
  <si>
    <t>藤原　倫昌</t>
  </si>
  <si>
    <t>伊藤　みりえ</t>
  </si>
  <si>
    <t>吉久　宏一</t>
  </si>
  <si>
    <t>岸　幹雄</t>
  </si>
  <si>
    <t>兵藤　純夫</t>
  </si>
  <si>
    <t>松本　栄治</t>
  </si>
  <si>
    <t>尾上　隆司</t>
  </si>
  <si>
    <t>三島　孝仁</t>
  </si>
  <si>
    <t>放射線診断科</t>
  </si>
  <si>
    <t>松浦　範明</t>
  </si>
  <si>
    <t>角西　雄一</t>
  </si>
  <si>
    <t>放射線腫瘍科</t>
  </si>
  <si>
    <t>甲田　俊太郎</t>
  </si>
  <si>
    <t>米倉　圭二</t>
  </si>
  <si>
    <t>よねくら小児科</t>
  </si>
  <si>
    <t>大井　和敏</t>
  </si>
  <si>
    <t>原　圭一</t>
  </si>
  <si>
    <t>原小児科</t>
  </si>
  <si>
    <t>宮河　真一郎</t>
  </si>
  <si>
    <t>濱本　博美</t>
  </si>
  <si>
    <t>医療法人社団佐藤耳鼻咽喉科医院</t>
  </si>
  <si>
    <t>谷口　正彦</t>
  </si>
  <si>
    <t>三次市東酒屋町10531</t>
  </si>
  <si>
    <t>城山　和久</t>
  </si>
  <si>
    <t>木村　聡</t>
  </si>
  <si>
    <t>大林　敦人</t>
  </si>
  <si>
    <t>森　亮</t>
  </si>
  <si>
    <t>秋山　道之進</t>
  </si>
  <si>
    <t>高橋　正彦</t>
  </si>
  <si>
    <t>植村　享裕</t>
  </si>
  <si>
    <t>伊藤　陽子</t>
  </si>
  <si>
    <t>伊藤　博之</t>
  </si>
  <si>
    <t>医療法人社団清逸会大野東クリニック</t>
  </si>
  <si>
    <t>大庭　信二</t>
  </si>
  <si>
    <t>原田　洋明</t>
  </si>
  <si>
    <t>石川　修司</t>
  </si>
  <si>
    <t>山下　芳典</t>
  </si>
  <si>
    <t>外科、呼吸器外科、消化器外科、肛門外科</t>
  </si>
  <si>
    <t>宮澤　真里</t>
  </si>
  <si>
    <t>森末　千春</t>
  </si>
  <si>
    <t>医療法人同仁会府中中央内科病院</t>
  </si>
  <si>
    <t>髙橋　俊介</t>
  </si>
  <si>
    <t>末田　芳雅</t>
  </si>
  <si>
    <t>河野　博孝</t>
  </si>
  <si>
    <t>永井　健太</t>
  </si>
  <si>
    <t>林　拓男</t>
  </si>
  <si>
    <t>山口　厚</t>
  </si>
  <si>
    <t>木戸　みき</t>
  </si>
  <si>
    <t>こぶしの里クリニック</t>
  </si>
  <si>
    <t>伊藤　琢生</t>
  </si>
  <si>
    <t>安芸太田戸河内診療所</t>
  </si>
  <si>
    <t>安芸太田病院</t>
  </si>
  <si>
    <t>山県郡安芸太田町下殿河内236</t>
  </si>
  <si>
    <t>内科、アレルギー科、小児科</t>
  </si>
  <si>
    <t>佐藤皮ふ科クリニック</t>
  </si>
  <si>
    <t>医療法人にぐま皮ふ科クリニック</t>
  </si>
  <si>
    <t>竹﨑　英一</t>
  </si>
  <si>
    <t>三村　剛史</t>
  </si>
  <si>
    <t>松下　宏子</t>
  </si>
  <si>
    <t>武藤　毅</t>
  </si>
  <si>
    <t>内科、緩和ケア内科</t>
  </si>
  <si>
    <t>笹木　慶子</t>
  </si>
  <si>
    <t>医療法人社団野間クリニック</t>
  </si>
  <si>
    <t>安藤　仁</t>
  </si>
  <si>
    <t>医療法人社団あんどう眼科</t>
  </si>
  <si>
    <t>永井　哲士</t>
  </si>
  <si>
    <t>永井医院</t>
  </si>
  <si>
    <t>永井　志保</t>
  </si>
  <si>
    <t>西本　直樹</t>
  </si>
  <si>
    <t>澤村　明廣</t>
  </si>
  <si>
    <t>たなかクリニック</t>
  </si>
  <si>
    <t>石井　雅之</t>
  </si>
  <si>
    <t>野間　堯</t>
  </si>
  <si>
    <t>阿美古　将</t>
  </si>
  <si>
    <t>内科、アレルギー科、糖尿病内科、循環器内科、脂質代謝内科</t>
  </si>
  <si>
    <t>安原　愼治</t>
  </si>
  <si>
    <t>佐藤　幸雄</t>
  </si>
  <si>
    <t>奥﨑　健</t>
  </si>
  <si>
    <t>山田　貴之</t>
  </si>
  <si>
    <t>久保田　益亘</t>
  </si>
  <si>
    <t>やまだ眼科</t>
  </si>
  <si>
    <t>坪井クリニック</t>
  </si>
  <si>
    <t>内科、小児科、外科、整形外科、こう門科、リハビリテーション科</t>
  </si>
  <si>
    <t>村岡　聡介</t>
  </si>
  <si>
    <t>野島　昭徳</t>
  </si>
  <si>
    <t>まつなが眼科</t>
  </si>
  <si>
    <t>山崎　弘貴</t>
  </si>
  <si>
    <t>吉中　建</t>
  </si>
  <si>
    <t>医療法人エフシーふじい内科循環器科</t>
  </si>
  <si>
    <t>森本　謙一</t>
  </si>
  <si>
    <t>もりもと皮膚科クリニック</t>
  </si>
  <si>
    <t>梅本　かさね</t>
  </si>
  <si>
    <t>星田　昌吾</t>
  </si>
  <si>
    <t>橋本　秀則</t>
  </si>
  <si>
    <t>川上　恭司</t>
  </si>
  <si>
    <t>優輝整形リハビリステーション</t>
  </si>
  <si>
    <t>杉原　基弘</t>
  </si>
  <si>
    <t>伊勢丘内科クリニック</t>
  </si>
  <si>
    <t>松田　圭司</t>
  </si>
  <si>
    <t>清水　俊彦</t>
  </si>
  <si>
    <t>くろさきクリニック</t>
  </si>
  <si>
    <t>河田　耕一</t>
  </si>
  <si>
    <t>松本　偉男</t>
  </si>
  <si>
    <t>牧野　康男</t>
  </si>
  <si>
    <t>木村　徹</t>
  </si>
  <si>
    <t>児玉　雅治</t>
  </si>
  <si>
    <t>医療法人まさよし会児玉クリニック</t>
  </si>
  <si>
    <t>錦織　修道</t>
  </si>
  <si>
    <t>医療法人社団錦織眼科医院</t>
  </si>
  <si>
    <t>医療法人社団ひかり会木村眼科内科病院</t>
  </si>
  <si>
    <t>室　雅彦</t>
  </si>
  <si>
    <t>松永　匡史</t>
  </si>
  <si>
    <t>柴田　和成</t>
  </si>
  <si>
    <t>荒木　徹</t>
  </si>
  <si>
    <t>竹原市下野町1744</t>
  </si>
  <si>
    <t>宮嵜　健史</t>
  </si>
  <si>
    <t>松浦　秀夫</t>
  </si>
  <si>
    <t>岡本　和夫</t>
  </si>
  <si>
    <t>東広島中央クリニック</t>
  </si>
  <si>
    <t>大本　修</t>
  </si>
  <si>
    <t>臼杵　直人</t>
  </si>
  <si>
    <t>木村　格</t>
  </si>
  <si>
    <t>錦織　博道</t>
  </si>
  <si>
    <t>渡邊　浩志</t>
  </si>
  <si>
    <t>玉田　智子</t>
  </si>
  <si>
    <t>内科、外科、整形外科、リハビリテーション科、放射線科</t>
  </si>
  <si>
    <t>やすだクリニック</t>
  </si>
  <si>
    <t>おかざき脳神経クリニック</t>
  </si>
  <si>
    <t>姫野内科医院</t>
  </si>
  <si>
    <t>守田　善行</t>
  </si>
  <si>
    <t>光成　晶良</t>
  </si>
  <si>
    <t>角野　萌</t>
  </si>
  <si>
    <t>片山医院</t>
  </si>
  <si>
    <t>髙尾　和志</t>
  </si>
  <si>
    <t>岡原　史郎</t>
  </si>
  <si>
    <t>岡本　康</t>
  </si>
  <si>
    <t>松尾　郁枝</t>
  </si>
  <si>
    <t>籾迫　博幸</t>
  </si>
  <si>
    <t>東儀　宣哲</t>
  </si>
  <si>
    <t>医療法人社団生康会谷本医院</t>
  </si>
  <si>
    <t>毛利　律生</t>
  </si>
  <si>
    <t>国家公務員共済組合連合会　呉共済病院忠海分院</t>
  </si>
  <si>
    <t>和田　有子</t>
  </si>
  <si>
    <t>漆畑　貴行</t>
  </si>
  <si>
    <t>相坂　康之</t>
  </si>
  <si>
    <t>大西　毅</t>
  </si>
  <si>
    <t>吉田　壮一</t>
  </si>
  <si>
    <t>水野　尚之</t>
  </si>
  <si>
    <t>山崎　琢磨</t>
  </si>
  <si>
    <t>弘田　祐一</t>
  </si>
  <si>
    <t>サザンクリニック</t>
  </si>
  <si>
    <t>中島　康</t>
  </si>
  <si>
    <t>吉福　良公</t>
  </si>
  <si>
    <t>山本医院</t>
  </si>
  <si>
    <t>尾道市因島中庄町4934</t>
  </si>
  <si>
    <t>飯尾　澄夫</t>
  </si>
  <si>
    <t>石垣　尚志</t>
  </si>
  <si>
    <t>岡本　幸代</t>
  </si>
  <si>
    <t>井上　康</t>
  </si>
  <si>
    <t>土橋　一代</t>
  </si>
  <si>
    <t>大石　幸一</t>
  </si>
  <si>
    <t>高場クリニック</t>
  </si>
  <si>
    <t>原医院</t>
  </si>
  <si>
    <t>西谷内科</t>
  </si>
  <si>
    <t>川本　行彦</t>
  </si>
  <si>
    <t>幸　慎太郎</t>
  </si>
  <si>
    <t>たにぐち脳神経外科クリニック</t>
  </si>
  <si>
    <t>石井　秀将</t>
  </si>
  <si>
    <t>河村　秀康</t>
  </si>
  <si>
    <t>アレルギー科、小児科、新生児内科</t>
  </si>
  <si>
    <t>柴村　英典</t>
  </si>
  <si>
    <t>豊田内科医院</t>
  </si>
  <si>
    <t>福山医療生活協同組合　城北診療所</t>
  </si>
  <si>
    <t>東　悠介</t>
  </si>
  <si>
    <t>尾道市美ノ郷町三成2675</t>
  </si>
  <si>
    <t>寺面　和史</t>
  </si>
  <si>
    <t>内科、呼吸器科、循環器科</t>
  </si>
  <si>
    <t>西　康行</t>
  </si>
  <si>
    <t>佐藤　孝至</t>
  </si>
  <si>
    <t>新田　泰章</t>
  </si>
  <si>
    <t>川合　幸延</t>
  </si>
  <si>
    <t>内科、神経内科、リハビリテーション科、循環器内科</t>
  </si>
  <si>
    <t>中濱　一</t>
  </si>
  <si>
    <t>松浦　敏恵</t>
  </si>
  <si>
    <t>稲束　有希子</t>
  </si>
  <si>
    <t>軸原　温</t>
  </si>
  <si>
    <t>岡崎　貴仁</t>
  </si>
  <si>
    <t>まつはまクリニック</t>
  </si>
  <si>
    <t>琴崎　哲平</t>
  </si>
  <si>
    <t>末丸　秀二</t>
  </si>
  <si>
    <t>今川　智香子</t>
  </si>
  <si>
    <t>山本　佳征</t>
  </si>
  <si>
    <t>医療法人社団南坊南坊井上内科循環器科医院</t>
  </si>
  <si>
    <t>村井　博</t>
  </si>
  <si>
    <t>杉浦　智仁</t>
  </si>
  <si>
    <t>藤井　隆</t>
  </si>
  <si>
    <t>藤井　裕樹</t>
  </si>
  <si>
    <t>笠井　万里子</t>
  </si>
  <si>
    <t>高橋　生</t>
  </si>
  <si>
    <t>宇治郷　諭</t>
  </si>
  <si>
    <t>むらい内科クリニック</t>
  </si>
  <si>
    <t>金谷　篤</t>
  </si>
  <si>
    <t>野間　玄督</t>
  </si>
  <si>
    <t>杉岡　敏博</t>
  </si>
  <si>
    <t>黒田　芳明</t>
  </si>
  <si>
    <t>清水　晃典</t>
  </si>
  <si>
    <t>循環器・内科ふじたクリニック</t>
  </si>
  <si>
    <t>沼田　紀史</t>
  </si>
  <si>
    <t>医療法人ともみ会大倉医院</t>
  </si>
  <si>
    <t>若林　靖久</t>
  </si>
  <si>
    <t>赤木　貴彦</t>
  </si>
  <si>
    <t>松尾　泰治</t>
  </si>
  <si>
    <t>高田　一郎</t>
  </si>
  <si>
    <t>府中市上下町上下2101</t>
  </si>
  <si>
    <t>西山　祐二</t>
  </si>
  <si>
    <t>消化器科、内視鏡科</t>
  </si>
  <si>
    <t>世良　哲</t>
  </si>
  <si>
    <t>里本　祐一</t>
  </si>
  <si>
    <t>野中　裕広</t>
  </si>
  <si>
    <t>佐々木　智</t>
  </si>
  <si>
    <t>社会福祉法人三篠会重症児・者福祉医療施設原</t>
  </si>
  <si>
    <t>松本　誠司</t>
  </si>
  <si>
    <t>医療法人かどます佐々木医院</t>
  </si>
  <si>
    <t>石　光広</t>
  </si>
  <si>
    <t>医療法人社団石泌尿器科医院</t>
  </si>
  <si>
    <t>山田　博隆</t>
  </si>
  <si>
    <t>東川耳鼻咽喉科医院</t>
  </si>
  <si>
    <t>木村　真大</t>
  </si>
  <si>
    <t>大田整形外科おおた内科</t>
  </si>
  <si>
    <t>関本　員裕</t>
  </si>
  <si>
    <t>沖山　二郎</t>
  </si>
  <si>
    <t>田中　惣之輔</t>
  </si>
  <si>
    <t>小林　沙代</t>
  </si>
  <si>
    <t>名和　徹</t>
  </si>
  <si>
    <t>末次　慶收</t>
  </si>
  <si>
    <t>戸谷　修二</t>
  </si>
  <si>
    <t>下江　俊成</t>
  </si>
  <si>
    <t>医療法人社団清和会柴田内科</t>
  </si>
  <si>
    <t>門田　一晃</t>
  </si>
  <si>
    <t>黒瀨　洋平</t>
  </si>
  <si>
    <t>石井　龍宏</t>
  </si>
  <si>
    <t>久保　景勝</t>
  </si>
  <si>
    <t>貞森　裕</t>
  </si>
  <si>
    <t>日山　愛子</t>
  </si>
  <si>
    <t>大野　聡</t>
  </si>
  <si>
    <t>植田　秀雄</t>
  </si>
  <si>
    <t>加藤　幸雄</t>
  </si>
  <si>
    <t>山本　文子</t>
  </si>
  <si>
    <t>井上　文之</t>
  </si>
  <si>
    <t>外科、呼吸器外科、呼吸器内科</t>
  </si>
  <si>
    <t>住元　庸二</t>
  </si>
  <si>
    <t>大田　和弘</t>
  </si>
  <si>
    <t>河越　宏之</t>
  </si>
  <si>
    <t>兒玉　愛梨</t>
  </si>
  <si>
    <t>中山眼科</t>
  </si>
  <si>
    <t>医療法人社団　めぐみ会　森藤医院</t>
  </si>
  <si>
    <t>医療法人社団かなもと医院</t>
  </si>
  <si>
    <t>小児科（循環器）</t>
  </si>
  <si>
    <t>稲垣　優</t>
  </si>
  <si>
    <t>肛門外科</t>
  </si>
  <si>
    <t>内科、リハビリテーション科、循環器内科</t>
  </si>
  <si>
    <t>菅眼科</t>
  </si>
  <si>
    <t>山下　安彦</t>
  </si>
  <si>
    <t>中　希久子</t>
  </si>
  <si>
    <t>宮庄　浩司</t>
  </si>
  <si>
    <t>藤井　俊宏</t>
  </si>
  <si>
    <t>内科、消化器科、外科、整形外科、リハビリテーション科、肛門科</t>
  </si>
  <si>
    <t>寺尾　正子</t>
  </si>
  <si>
    <t>腫瘍内科</t>
  </si>
  <si>
    <t>衣川　佳数</t>
  </si>
  <si>
    <t>米花　伸彦</t>
  </si>
  <si>
    <t>時永　賢治</t>
  </si>
  <si>
    <t>藤森　淳</t>
  </si>
  <si>
    <t>梶間　理人</t>
  </si>
  <si>
    <t>阿座上　隆広</t>
  </si>
  <si>
    <t>医療法人社団佐々木医院</t>
  </si>
  <si>
    <t>津間本　裕一</t>
  </si>
  <si>
    <t>西山　聡</t>
  </si>
  <si>
    <t>医療法人クオーレ　向洋駅前心療クリニック</t>
  </si>
  <si>
    <t>今中　章弘</t>
  </si>
  <si>
    <t>宮部　欽生</t>
  </si>
  <si>
    <t>近藤　圭一</t>
  </si>
  <si>
    <t>森　雅信</t>
  </si>
  <si>
    <t>廣兼　民徳</t>
  </si>
  <si>
    <t>濱田　敏秀</t>
  </si>
  <si>
    <t>田中　幸一</t>
  </si>
  <si>
    <t>髙田　玄紀</t>
  </si>
  <si>
    <t>中野　壯一郎</t>
  </si>
  <si>
    <t>三次地区医療センター</t>
  </si>
  <si>
    <t>小林　賢悟</t>
  </si>
  <si>
    <t>内科、アレルギー科、小児科、外科、整形外科、皮膚科、リハビリテーション科、消化器内科、循環器内科</t>
  </si>
  <si>
    <t>三上　慎祐</t>
  </si>
  <si>
    <t>粟屋　禎一</t>
  </si>
  <si>
    <t>糖尿病・代謝内分泌内科</t>
  </si>
  <si>
    <t>加藤　信夫</t>
  </si>
  <si>
    <t>郷力　和明</t>
  </si>
  <si>
    <t>赤山　幸一</t>
  </si>
  <si>
    <t>桒田　亜希</t>
  </si>
  <si>
    <t>三次市国民健康保険みよしこども診療所</t>
  </si>
  <si>
    <t>樫本　和樹</t>
  </si>
  <si>
    <t>原田　宏海</t>
  </si>
  <si>
    <t>谷口　栄治</t>
  </si>
  <si>
    <t>今田　貴之</t>
  </si>
  <si>
    <t>いまだ内科医院</t>
  </si>
  <si>
    <t>重政　勝之</t>
  </si>
  <si>
    <t>守屋　真</t>
  </si>
  <si>
    <t>もりや小児科クリニック</t>
  </si>
  <si>
    <t>榎野　新</t>
  </si>
  <si>
    <t>栗栖　奈穗</t>
  </si>
  <si>
    <t>石井　篤子</t>
  </si>
  <si>
    <t>北村　正輔</t>
  </si>
  <si>
    <t>宮内　晃</t>
  </si>
  <si>
    <t>内藤　聡雄</t>
  </si>
  <si>
    <t>藤原　賢次郎</t>
  </si>
  <si>
    <t>小倉　敏</t>
  </si>
  <si>
    <t>古川　年宏</t>
  </si>
  <si>
    <t>中川　洋</t>
  </si>
  <si>
    <t>医療法人社団大樹会中川整形外科医院</t>
  </si>
  <si>
    <t>府中市中須町77</t>
  </si>
  <si>
    <t>医療法人社団城山会石井内科</t>
  </si>
  <si>
    <t>医療法人辰川会山陽ぬまくま腎クリニック</t>
  </si>
  <si>
    <t>齋木　豊德</t>
  </si>
  <si>
    <t>内科、外科、代謝内科、循環器内科、腎臓内科（人工透析）・糖尿病</t>
  </si>
  <si>
    <t>外科、人工透析内科</t>
  </si>
  <si>
    <t>廣岡　孝彦</t>
  </si>
  <si>
    <t>樫野　かおり</t>
  </si>
  <si>
    <t>藤井　淳一</t>
  </si>
  <si>
    <t>光野　雄三</t>
  </si>
  <si>
    <t>精神神経科</t>
  </si>
  <si>
    <t>広島県厚生農業協同組合連合会　吉田総合病院</t>
  </si>
  <si>
    <t>山本　りさこ</t>
  </si>
  <si>
    <t>濱田　雅典</t>
  </si>
  <si>
    <t>藤井　淳</t>
  </si>
  <si>
    <t>髙橋　伸方</t>
  </si>
  <si>
    <t>医療法人こどもクリニックはぐくみ</t>
  </si>
  <si>
    <t>市場　康之</t>
  </si>
  <si>
    <t>山邉　瑞穂</t>
  </si>
  <si>
    <t>河野　克仁</t>
  </si>
  <si>
    <t>迫間　巧将</t>
  </si>
  <si>
    <t>平木　信明</t>
  </si>
  <si>
    <t>医療法人徹慈会耳鼻咽喉科東手城医院</t>
  </si>
  <si>
    <t>宇髙　毅</t>
  </si>
  <si>
    <t>医療法人徹慈会　堀病院</t>
  </si>
  <si>
    <t>秋本　悦志</t>
  </si>
  <si>
    <t>医療法人秋本クリニック</t>
  </si>
  <si>
    <t>相谷　哲朗</t>
  </si>
  <si>
    <t>あいたに整形外科</t>
  </si>
  <si>
    <t>水沼　和之</t>
  </si>
  <si>
    <t>辰川　匡史</t>
  </si>
  <si>
    <t>井上　正規</t>
  </si>
  <si>
    <t>香河　哲也</t>
  </si>
  <si>
    <t>谷本　康信</t>
  </si>
  <si>
    <t>溝手　秀秋</t>
  </si>
  <si>
    <t>佐藤　俊雄</t>
  </si>
  <si>
    <t>尾道市浦崎町2723</t>
  </si>
  <si>
    <t>多田　敦彦</t>
  </si>
  <si>
    <t>安井　大介</t>
  </si>
  <si>
    <t>内科、小児科、外科、乳腺外科</t>
  </si>
  <si>
    <t>横江　裕幸</t>
  </si>
  <si>
    <t>福山元町眼科</t>
  </si>
  <si>
    <t>医療法人千誠会　高屋整形外科</t>
  </si>
  <si>
    <t>若井　雅貴</t>
  </si>
  <si>
    <t>齊藤　誠司</t>
  </si>
  <si>
    <t>医療法人社団谷口クリニック</t>
  </si>
  <si>
    <t>岡田　和郎</t>
  </si>
  <si>
    <t>日置　勝義</t>
  </si>
  <si>
    <t>重野　陽一</t>
  </si>
  <si>
    <t>しげの整形外科スポーツクリニック</t>
  </si>
  <si>
    <t>佐藤　真由</t>
  </si>
  <si>
    <t>熊谷　功</t>
  </si>
  <si>
    <t>米花　有香</t>
  </si>
  <si>
    <t>猪谷　元浩</t>
  </si>
  <si>
    <t>乳腺・内分泌外科</t>
  </si>
  <si>
    <t>福島　慶</t>
  </si>
  <si>
    <t>西福山病院</t>
  </si>
  <si>
    <t>大村　泰</t>
  </si>
  <si>
    <t>医療法人せいざん青山病院</t>
  </si>
  <si>
    <t>内科、胃腸科、循環器科</t>
  </si>
  <si>
    <t>平田　真奈</t>
  </si>
  <si>
    <t>西本　武史</t>
  </si>
  <si>
    <t>介護医療院グリーン三条</t>
  </si>
  <si>
    <t>松岡　隆</t>
  </si>
  <si>
    <t>山中　崇</t>
  </si>
  <si>
    <t>鈴川　睦夫</t>
  </si>
  <si>
    <t>鈴川内科クリニック</t>
  </si>
  <si>
    <t>きむら内科消化器科クリニック</t>
  </si>
  <si>
    <t>内科、消化器内科、救急科</t>
  </si>
  <si>
    <t>松本　光仁</t>
  </si>
  <si>
    <t>平原クリニック</t>
  </si>
  <si>
    <t>木曽　宗昭</t>
  </si>
  <si>
    <t>腎臓内科、透析科</t>
  </si>
  <si>
    <t>河野　達也</t>
  </si>
  <si>
    <t>神田ファミリークリニック</t>
  </si>
  <si>
    <t>奈良井眼科</t>
  </si>
  <si>
    <t>澤　宗寛</t>
  </si>
  <si>
    <t>村尾　直樹</t>
  </si>
  <si>
    <t>医療法人社団洞仁会眼科日山医院</t>
  </si>
  <si>
    <t>金　基哲</t>
  </si>
  <si>
    <t>医療法人楽生会馬場病院</t>
  </si>
  <si>
    <t>大屋　耕子</t>
  </si>
  <si>
    <t>医療法人いちえ会おおや耳鼻咽喉科</t>
  </si>
  <si>
    <t>吾郷　里華</t>
  </si>
  <si>
    <t>今中　文雄</t>
  </si>
  <si>
    <t>玉浦　志保</t>
  </si>
  <si>
    <t>医療法人リーベリー木原こどもクリニック</t>
  </si>
  <si>
    <t>医療法人社団近藤医院</t>
  </si>
  <si>
    <t>小川　知幸</t>
  </si>
  <si>
    <t>田中　理伸</t>
  </si>
  <si>
    <t>今福内科クリニック</t>
  </si>
  <si>
    <t>三好　輝行</t>
  </si>
  <si>
    <t>医療法人節和会三好眼科</t>
  </si>
  <si>
    <t>岡原内科皮ふ科クリニック</t>
  </si>
  <si>
    <t>岡崎　彰仁</t>
  </si>
  <si>
    <t>末丸　俊二</t>
  </si>
  <si>
    <t>藪下　和久</t>
  </si>
  <si>
    <t>寺﨑　元美</t>
  </si>
  <si>
    <t>野間　康宏</t>
  </si>
  <si>
    <t>植木　亨</t>
  </si>
  <si>
    <t>盛谷　和生</t>
  </si>
  <si>
    <t>内海町いちかわ診療所</t>
  </si>
  <si>
    <t>坂上　正樹</t>
  </si>
  <si>
    <t>竹内　亘</t>
  </si>
  <si>
    <t>耳鼻いんこう科、気管食道科</t>
  </si>
  <si>
    <t>中田　裕子</t>
  </si>
  <si>
    <t>今田　裕尊</t>
  </si>
  <si>
    <t>杉浦　弘幸</t>
  </si>
  <si>
    <t>上田　武滋</t>
  </si>
  <si>
    <t>福山市赤坂町早戸1470</t>
  </si>
  <si>
    <t>岡村　洋</t>
  </si>
  <si>
    <t>医療法人香会岡村医院</t>
  </si>
  <si>
    <t>日谷　博光</t>
  </si>
  <si>
    <t>日谷　光一郎</t>
  </si>
  <si>
    <t>松尾整形外科リハビリクリニック</t>
  </si>
  <si>
    <t>難波　将史</t>
  </si>
  <si>
    <t>西岡　軌史</t>
  </si>
  <si>
    <t>久賀　淳一朗</t>
  </si>
  <si>
    <t>陸門　靖</t>
  </si>
  <si>
    <t>木村　友剛</t>
  </si>
  <si>
    <t>服部　好浩</t>
  </si>
  <si>
    <t>医療法人社団星田医院</t>
  </si>
  <si>
    <t>川本　俊治</t>
  </si>
  <si>
    <t>宮﨑　満</t>
  </si>
  <si>
    <t>かわもと心臓内科クリニック</t>
  </si>
  <si>
    <t>循環器内科、糖尿病・代謝内科</t>
  </si>
  <si>
    <t>藤井　隆之</t>
  </si>
  <si>
    <t>宇田　憲司</t>
  </si>
  <si>
    <t>米神　裕介</t>
  </si>
  <si>
    <t>医療法人慈生会前原病院</t>
  </si>
  <si>
    <t>小島　康知</t>
  </si>
  <si>
    <t>住元　一夫</t>
  </si>
  <si>
    <t>西田　直樹</t>
  </si>
  <si>
    <t>宅和　直樹</t>
  </si>
  <si>
    <t>近藤　丈博</t>
  </si>
  <si>
    <t>豊田　英治</t>
  </si>
  <si>
    <t>小野　大地</t>
  </si>
  <si>
    <t>北村　智樹</t>
  </si>
  <si>
    <t>田村　秀樹</t>
  </si>
  <si>
    <t>かじやま内科循環器科</t>
  </si>
  <si>
    <t>外科、整形外科、リハビリテーション科、麻酔科</t>
  </si>
  <si>
    <t>多保　孝典</t>
  </si>
  <si>
    <t>吉田　智浩</t>
  </si>
  <si>
    <t>社会医療法人里仁会介護医療院仁生苑</t>
  </si>
  <si>
    <t>在宅療養支援診療所りんりんクリニック</t>
  </si>
  <si>
    <t>髙石　佳幸</t>
  </si>
  <si>
    <t>杉原　正大</t>
  </si>
  <si>
    <t>重信　和也</t>
  </si>
  <si>
    <t>内科、循環器科、小児科</t>
  </si>
  <si>
    <t>大崎　薫</t>
  </si>
  <si>
    <t>三保　成正</t>
  </si>
  <si>
    <t>谷　博雄</t>
  </si>
  <si>
    <t>吉田　友和</t>
  </si>
  <si>
    <t>松本　公治</t>
  </si>
  <si>
    <t>大森　啓司</t>
  </si>
  <si>
    <t>医療法人大森整形外科</t>
  </si>
  <si>
    <t>内科、循環器内科、呼吸器内科</t>
  </si>
  <si>
    <t>内村　祐子</t>
  </si>
  <si>
    <t>今井　克彦</t>
  </si>
  <si>
    <t>よしだレディースクリニック内科・小児科</t>
  </si>
  <si>
    <t>産科、婦人科、不妊治療</t>
  </si>
  <si>
    <t>医療法人社団文理会庵谷内科循環器科</t>
  </si>
  <si>
    <t>髙杉　啓一郎</t>
  </si>
  <si>
    <t>医療法人社団スマイル博愛クリニック</t>
  </si>
  <si>
    <t>大石　明彦</t>
  </si>
  <si>
    <t>医療法人社団大仁会大石病院</t>
  </si>
  <si>
    <t>瀬川　昌弘</t>
  </si>
  <si>
    <t>安芸高田市甲田町高田原1043</t>
  </si>
  <si>
    <t>金広　啓一</t>
  </si>
  <si>
    <t>医療法人ひさゆき耳鼻咽喉科アレルギー科</t>
  </si>
  <si>
    <t>中元　宏史</t>
  </si>
  <si>
    <t>なかもと眼科クリニック</t>
  </si>
  <si>
    <t>村井内科クリニック</t>
  </si>
  <si>
    <t>福島　伊知郎</t>
  </si>
  <si>
    <t>福島眼科クリニック</t>
  </si>
  <si>
    <t>柴田　昌紀</t>
  </si>
  <si>
    <t>曽爾　浩太郎</t>
  </si>
  <si>
    <t>作田　建夫</t>
  </si>
  <si>
    <t>吉田　健</t>
  </si>
  <si>
    <t>小島　真二</t>
  </si>
  <si>
    <t>本田クリニック</t>
  </si>
  <si>
    <t>医療法人よしおかホームクリニック</t>
  </si>
  <si>
    <t>内分泌糖尿内科</t>
  </si>
  <si>
    <t>河瀨　成穂</t>
  </si>
  <si>
    <t>馬場　広</t>
  </si>
  <si>
    <t>清水　良</t>
  </si>
  <si>
    <t>木田　迪子</t>
  </si>
  <si>
    <t>岡本　宏司</t>
  </si>
  <si>
    <t>医療法人叡幸会岡本耳鼻咽喉科医院</t>
  </si>
  <si>
    <t>大塚　由有子</t>
  </si>
  <si>
    <t>医療法人紫苑会ふじいクリニック</t>
  </si>
  <si>
    <t>柏山　雄二</t>
  </si>
  <si>
    <t>藤田　和久</t>
  </si>
  <si>
    <t>酒井　亮</t>
  </si>
  <si>
    <t>佐田　良治</t>
  </si>
  <si>
    <t>中郷　良藏</t>
  </si>
  <si>
    <t>土肥　大右</t>
  </si>
  <si>
    <t>寺岡　雄吏</t>
  </si>
  <si>
    <t>土肥　浩平</t>
  </si>
  <si>
    <t>松本　眞人</t>
  </si>
  <si>
    <t>藤田　慎平</t>
  </si>
  <si>
    <t>好川　真弘</t>
  </si>
  <si>
    <t>すずき内科胃腸科クリニック</t>
  </si>
  <si>
    <t>医療法人社団平田耳鼻咽喉科</t>
  </si>
  <si>
    <t>医療法人社団生和会福山リハビリテーション病院</t>
  </si>
  <si>
    <t>井口　哲彦</t>
  </si>
  <si>
    <t>高橋　節夫</t>
  </si>
  <si>
    <t>医療法人高橋ホームクリニック</t>
  </si>
  <si>
    <t>福岡　卓実</t>
  </si>
  <si>
    <t>医療法人社団明健会冨永内科医院</t>
  </si>
  <si>
    <t>内科、消化器科、小児科</t>
  </si>
  <si>
    <t>山本クリニック</t>
  </si>
  <si>
    <t>リウマチ科、整形外科、リハビリテーション科、放射線科</t>
  </si>
  <si>
    <t>医療法人社団とうげ外科・胃腸科</t>
  </si>
  <si>
    <t>外科、こう門科、消化器内科、内視鏡内科</t>
  </si>
  <si>
    <t>医療法人長谷川医院</t>
  </si>
  <si>
    <t>前田　憲志</t>
  </si>
  <si>
    <t>入福　泰介</t>
  </si>
  <si>
    <t>松本　望</t>
  </si>
  <si>
    <t>井川　敦</t>
  </si>
  <si>
    <t>秦　雄介</t>
  </si>
  <si>
    <t>山名　圭哉</t>
  </si>
  <si>
    <t>医療法人紘友会福山友愛病院</t>
  </si>
  <si>
    <t>精神科、神経科</t>
  </si>
  <si>
    <t>齊藤　俊秀</t>
  </si>
  <si>
    <t>品川　勝弘</t>
  </si>
  <si>
    <t>黒井　大雅</t>
  </si>
  <si>
    <t>神経内科、整形外科、脳神経外科、リハビリテーション科</t>
  </si>
  <si>
    <t>益田　和彦</t>
  </si>
  <si>
    <t>石橋　不可止</t>
  </si>
  <si>
    <t>石橋クリニック</t>
  </si>
  <si>
    <t>江波戸　文賢</t>
  </si>
  <si>
    <t>横山　恭子</t>
  </si>
  <si>
    <t>石田眼科医院</t>
  </si>
  <si>
    <t>丸山　聡</t>
  </si>
  <si>
    <t>瀬野　康之</t>
  </si>
  <si>
    <t>医療法人KOC金谷整形外科クリニック</t>
  </si>
  <si>
    <t>医療法人まこと会クリニック和田</t>
  </si>
  <si>
    <t>田渕　富張</t>
  </si>
  <si>
    <t>蓮岡　英明</t>
  </si>
  <si>
    <t>木下　晴之</t>
  </si>
  <si>
    <t>福山市水呑町4433</t>
  </si>
  <si>
    <t>黒木　一彦</t>
  </si>
  <si>
    <t>野本　仁志</t>
  </si>
  <si>
    <t>森近　大介</t>
  </si>
  <si>
    <t>神原　淳</t>
  </si>
  <si>
    <t>松浦　大輔</t>
  </si>
  <si>
    <t>十時　龍</t>
  </si>
  <si>
    <t>医療法人白須整形外科クリニック</t>
  </si>
  <si>
    <t>医療法人社団知仁会メープルヒル病院</t>
  </si>
  <si>
    <t>石井　知行</t>
  </si>
  <si>
    <t>野見山　敏之</t>
  </si>
  <si>
    <t>得能　秀美</t>
  </si>
  <si>
    <t>佐藤　昂平</t>
  </si>
  <si>
    <t>医療法人啓樹会さとう脳外科クリニック</t>
  </si>
  <si>
    <t>片岡　淳朗</t>
  </si>
  <si>
    <t>岡田　泰之</t>
  </si>
  <si>
    <t>かたおか内科クリニック</t>
  </si>
  <si>
    <t>安中　哲也</t>
  </si>
  <si>
    <t>内科、胃腸内科、消化器内科、内視鏡内科</t>
  </si>
  <si>
    <t>福本　正俊</t>
  </si>
  <si>
    <t>医療法人社団二山会　宗近病院</t>
  </si>
  <si>
    <t>橘髙　祐子</t>
  </si>
  <si>
    <t>黒田　龍</t>
  </si>
  <si>
    <t>小川　健一</t>
  </si>
  <si>
    <t>西田　健介</t>
  </si>
  <si>
    <t>平塩　秀磨</t>
  </si>
  <si>
    <t>林　真紀</t>
  </si>
  <si>
    <t>大月　鷹彦</t>
  </si>
  <si>
    <t>池邉　宗三人</t>
  </si>
  <si>
    <t>久山　陽子</t>
  </si>
  <si>
    <t>医療法人辰川会山陽腎クリニック</t>
  </si>
  <si>
    <t>能勢　宏幸</t>
  </si>
  <si>
    <t>吉原　大貴</t>
  </si>
  <si>
    <t>周治ファミリークリニック</t>
  </si>
  <si>
    <t>山下　定儀</t>
  </si>
  <si>
    <t>西村　友美</t>
  </si>
  <si>
    <t>水上　健友</t>
  </si>
  <si>
    <t>医療法人三島医院</t>
  </si>
  <si>
    <t>福山かた・ひざ・こしのクリニック</t>
  </si>
  <si>
    <t>月坂　和宏</t>
  </si>
  <si>
    <t>小出　純子</t>
  </si>
  <si>
    <t>田口　隆浩</t>
  </si>
  <si>
    <t>仁愛内科クリニック</t>
  </si>
  <si>
    <t>内科、リウマチ科、腎臓内科、糖尿病科</t>
  </si>
  <si>
    <t>大井　邦臣</t>
  </si>
  <si>
    <t>村岡　孝幸</t>
  </si>
  <si>
    <t>磯田　健太</t>
  </si>
  <si>
    <t>高本　宗男</t>
  </si>
  <si>
    <t>寺澤　由佳</t>
  </si>
  <si>
    <t>力田　高徳</t>
  </si>
  <si>
    <t>池田　美智子</t>
  </si>
  <si>
    <t>永井　巧雄</t>
  </si>
  <si>
    <t>佐々木　正太</t>
  </si>
  <si>
    <t>佐々木医院</t>
  </si>
  <si>
    <t>楠　龍策</t>
  </si>
  <si>
    <t>久保　敬二</t>
  </si>
  <si>
    <t>川口　健太郎</t>
  </si>
  <si>
    <t>医療法人川口内科クリニック</t>
  </si>
  <si>
    <t>尾崎　京華</t>
  </si>
  <si>
    <t>佐野　宏一</t>
  </si>
  <si>
    <t>医療法人佐野内科胃腸科医院</t>
  </si>
  <si>
    <t>本村　あい</t>
  </si>
  <si>
    <t>築家　秀和</t>
  </si>
  <si>
    <t>医療法人社団秀由会まつもりファミリークリニック</t>
  </si>
  <si>
    <t>荒田　夕佳</t>
  </si>
  <si>
    <t>医療法人　大竹中央クリニック</t>
  </si>
  <si>
    <t>中迫　幸男</t>
  </si>
  <si>
    <t>高萩　俊輔</t>
  </si>
  <si>
    <t>髙橋脳神経外科  循環器内科</t>
  </si>
  <si>
    <t>庄原市総領町下領家71</t>
  </si>
  <si>
    <t>佐藤　恒太</t>
  </si>
  <si>
    <t>しまなみ皮ふ科</t>
  </si>
  <si>
    <t>丸山　俊明</t>
  </si>
  <si>
    <t>医療法人社団喜真会弘田内科クリニック</t>
  </si>
  <si>
    <t>森原　理子</t>
  </si>
  <si>
    <t>安川　明廣</t>
  </si>
  <si>
    <t>八杉　昌幸</t>
  </si>
  <si>
    <t>栗山　志帆</t>
  </si>
  <si>
    <t>石井　知子</t>
  </si>
  <si>
    <t>庄原市高野診療所</t>
  </si>
  <si>
    <t>医療法人社団石井クリニック</t>
  </si>
  <si>
    <t>福田　健</t>
  </si>
  <si>
    <t>竹原　寛樹</t>
  </si>
  <si>
    <t>武田　哲二</t>
  </si>
  <si>
    <t>吉村　健</t>
  </si>
  <si>
    <t>河野　友紀</t>
  </si>
  <si>
    <t>牧野　郁子</t>
  </si>
  <si>
    <t>板阪　英俊</t>
  </si>
  <si>
    <t>医療法人社団生和会　呉やけやま病院</t>
  </si>
  <si>
    <t>杉本　佐江子</t>
  </si>
  <si>
    <t>今川　潤</t>
  </si>
  <si>
    <t>天野　愛純香</t>
  </si>
  <si>
    <t>松本　裕子</t>
  </si>
  <si>
    <t>世羅郡世羅町本郷1028</t>
  </si>
  <si>
    <t>伏見　崇</t>
  </si>
  <si>
    <t>米田　孝明</t>
  </si>
  <si>
    <t>米田耳鼻咽喉科クリニック</t>
  </si>
  <si>
    <t>一町　澄宜</t>
  </si>
  <si>
    <t>深井　雄太</t>
  </si>
  <si>
    <t>小川　恒由</t>
  </si>
  <si>
    <t>大西　章史</t>
  </si>
  <si>
    <t>原田　侑</t>
  </si>
  <si>
    <t>吉塚　将昭</t>
  </si>
  <si>
    <t>柿澤　昌希</t>
  </si>
  <si>
    <t>荒木　恒太</t>
  </si>
  <si>
    <t>嘉村　雄飛</t>
  </si>
  <si>
    <t>医療法人社団明和会　大野浦病院</t>
  </si>
  <si>
    <t>國弘　佳代子</t>
  </si>
  <si>
    <t>檜垣　麻利亜</t>
  </si>
  <si>
    <t>まりあ眼科クリニック</t>
  </si>
  <si>
    <t>山里　亮</t>
  </si>
  <si>
    <t>栗栖　薫</t>
  </si>
  <si>
    <t>沖井　則文</t>
  </si>
  <si>
    <t>同道　頼子</t>
  </si>
  <si>
    <t>医療法人社団白市診療所</t>
  </si>
  <si>
    <t>中島　亨</t>
  </si>
  <si>
    <t>谷　守通</t>
  </si>
  <si>
    <t>平櫛　順仁</t>
  </si>
  <si>
    <t>医療法人社団平櫛内科医院</t>
  </si>
  <si>
    <t>塩谷　咲千子</t>
  </si>
  <si>
    <t>泉　聡太朗</t>
  </si>
  <si>
    <t>平林　直樹</t>
  </si>
  <si>
    <t>趙　成大</t>
  </si>
  <si>
    <t>松原　昭郎</t>
  </si>
  <si>
    <t>妹尾　直</t>
  </si>
  <si>
    <t>松原　紀昌</t>
  </si>
  <si>
    <t>古川　皓介</t>
  </si>
  <si>
    <t>ふるかわ耳鼻咽喉科</t>
  </si>
  <si>
    <t>福入　隆史</t>
  </si>
  <si>
    <t>小原　弘之</t>
  </si>
  <si>
    <t>戸田　さゆり</t>
  </si>
  <si>
    <t>坂田　雅浩</t>
  </si>
  <si>
    <t>河内　雅年</t>
  </si>
  <si>
    <t>大本整形外科</t>
  </si>
  <si>
    <t>下田　大紀</t>
  </si>
  <si>
    <t>西山　奈緒子</t>
  </si>
  <si>
    <t>呼吸器科、消化器科、循環器科、外科、リハビリテーション科</t>
  </si>
  <si>
    <t>渡　雄一郎</t>
  </si>
  <si>
    <t>水野　麻紀</t>
  </si>
  <si>
    <t>末廣　龍憲</t>
  </si>
  <si>
    <t>片岡　敏</t>
  </si>
  <si>
    <t>若林医院</t>
  </si>
  <si>
    <t>長野　博志</t>
  </si>
  <si>
    <t>頼田　尚樹</t>
  </si>
  <si>
    <t>久保　智司</t>
  </si>
  <si>
    <t>石川　立則</t>
  </si>
  <si>
    <t>戸田　利絵</t>
  </si>
  <si>
    <t>神原　健</t>
  </si>
  <si>
    <t>医療法人社団親和会やまと病院</t>
  </si>
  <si>
    <t>定金　雅之</t>
  </si>
  <si>
    <t>野田　洋平</t>
  </si>
  <si>
    <t>菊地　剛</t>
  </si>
  <si>
    <t>河津　由紀子</t>
  </si>
  <si>
    <t>仲　博満</t>
  </si>
  <si>
    <t>中川　実</t>
  </si>
  <si>
    <t>内科、外科、血管外科</t>
  </si>
  <si>
    <t>郡　隆輔</t>
  </si>
  <si>
    <t>香川　健三</t>
  </si>
  <si>
    <t>小田　尚廣</t>
  </si>
  <si>
    <t>医療法人ハンス　宮内総合クリニック</t>
  </si>
  <si>
    <t>高橋　耕介</t>
  </si>
  <si>
    <t>梶原　剛</t>
  </si>
  <si>
    <t>かじはら内科医院</t>
  </si>
  <si>
    <t>渡邉　典行</t>
  </si>
  <si>
    <t>大林　瞳</t>
  </si>
  <si>
    <t>岩﨑　裕光</t>
  </si>
  <si>
    <t>桂　真理</t>
  </si>
  <si>
    <t>令和アイクリニック</t>
  </si>
  <si>
    <t>湯川　和俊</t>
  </si>
  <si>
    <t>中村　耕樹</t>
  </si>
  <si>
    <t>橘髙　誠</t>
  </si>
  <si>
    <t>安本　博晃</t>
  </si>
  <si>
    <t>下薗　広行</t>
  </si>
  <si>
    <t>森迫　泰貴</t>
  </si>
  <si>
    <t>大川　新吾</t>
  </si>
  <si>
    <t>堀江　正和</t>
  </si>
  <si>
    <t>医療法人しみずハート内科クリニック</t>
  </si>
  <si>
    <t>藤田　明子</t>
  </si>
  <si>
    <t>武内　康治</t>
  </si>
  <si>
    <t>原田　崇弘</t>
  </si>
  <si>
    <t>盛生　慶</t>
  </si>
  <si>
    <t>木南　貴博</t>
  </si>
  <si>
    <t>大下　智彦</t>
  </si>
  <si>
    <t>濵井　宏介</t>
  </si>
  <si>
    <t>大塚　雅也</t>
  </si>
  <si>
    <t>井上　省吾</t>
  </si>
  <si>
    <t>髙野　元気</t>
  </si>
  <si>
    <t>武冨　翼</t>
  </si>
  <si>
    <t>倉員　忠弘</t>
  </si>
  <si>
    <t>大江　啓史</t>
  </si>
  <si>
    <t>末澤　孝徳</t>
  </si>
  <si>
    <t>大原　伸二</t>
  </si>
  <si>
    <t>瀬尾　信吾</t>
  </si>
  <si>
    <t>谷　順子</t>
  </si>
  <si>
    <t>河野　裕之</t>
  </si>
  <si>
    <t>北平　裕史</t>
  </si>
  <si>
    <t>上敷領　俊晴</t>
  </si>
  <si>
    <t>杉山　英二</t>
  </si>
  <si>
    <t>白神　邦浩</t>
  </si>
  <si>
    <t>石原　朗雄</t>
  </si>
  <si>
    <t>大田　将弘</t>
  </si>
  <si>
    <t>財満　一夫</t>
  </si>
  <si>
    <t>河村　良太</t>
  </si>
  <si>
    <t>医療法人社団　仁愛内科医院</t>
  </si>
  <si>
    <t>妹尾　賢</t>
  </si>
  <si>
    <t>大谷　一郎</t>
  </si>
  <si>
    <t>吉田　充裕</t>
  </si>
  <si>
    <t>高原　大輔</t>
  </si>
  <si>
    <t>むかいなだ耳鼻咽喉科・アレルギー科</t>
  </si>
  <si>
    <t>坪河　太</t>
  </si>
  <si>
    <t>原田　泰枝</t>
  </si>
  <si>
    <t>金子　陽一郎</t>
  </si>
  <si>
    <t>福永　秀</t>
  </si>
  <si>
    <t>みやじまアイクリニック</t>
  </si>
  <si>
    <t>医療法人社団数佐整形外科医院</t>
  </si>
  <si>
    <t>鎌田　研治</t>
  </si>
  <si>
    <t>田邊　輝真</t>
  </si>
  <si>
    <t>救急総合診療科</t>
  </si>
  <si>
    <t>毛利　教生</t>
  </si>
  <si>
    <t>澤医院</t>
  </si>
  <si>
    <t>小熊　信夫</t>
  </si>
  <si>
    <t>楠　真帆</t>
  </si>
  <si>
    <t>明神町リハ・整形クリニック</t>
  </si>
  <si>
    <t>橋本　幸繁</t>
  </si>
  <si>
    <t>茶木　隆寛</t>
  </si>
  <si>
    <t>皿谷　洋祐</t>
  </si>
  <si>
    <t>田村　亮</t>
  </si>
  <si>
    <t>大田　遥</t>
  </si>
  <si>
    <t>柴田　亮介</t>
  </si>
  <si>
    <t>望月　司</t>
  </si>
  <si>
    <t>竹内　有則</t>
  </si>
  <si>
    <t>医療法人ピー・エイチ・イーきむら内科小児科医院</t>
  </si>
  <si>
    <t>井之川　宗右</t>
  </si>
  <si>
    <t>志茂　公洋</t>
  </si>
  <si>
    <t>山岡　桂子</t>
  </si>
  <si>
    <t>木阪　智彦</t>
  </si>
  <si>
    <t>木阪　美智子</t>
  </si>
  <si>
    <t>石橋　はるか</t>
  </si>
  <si>
    <t>本田　寛和</t>
  </si>
  <si>
    <t>木曽　大輔</t>
  </si>
  <si>
    <t>牧田　雅典</t>
  </si>
  <si>
    <t>阿部　将也</t>
  </si>
  <si>
    <t>當天　賢子</t>
  </si>
  <si>
    <t>沖　健司</t>
  </si>
  <si>
    <t>谷本　綾子</t>
  </si>
  <si>
    <t>三好　政輝</t>
  </si>
  <si>
    <t>三好眼科　神辺新道上</t>
  </si>
  <si>
    <t>山本　悠司</t>
  </si>
  <si>
    <t>谷本　光生</t>
  </si>
  <si>
    <t>児玉　良太郎</t>
  </si>
  <si>
    <t>片桐　匡弥</t>
  </si>
  <si>
    <t>田中　信治</t>
  </si>
  <si>
    <t>いのくちクリニック</t>
  </si>
  <si>
    <t>耳鼻いんこう科、緩和ケア</t>
  </si>
  <si>
    <t>奥本　穣</t>
  </si>
  <si>
    <t>西条すこやか内科</t>
  </si>
  <si>
    <t>大城　勝</t>
  </si>
  <si>
    <t>池田響子ハートクリニック</t>
  </si>
  <si>
    <t>笠井　健史</t>
  </si>
  <si>
    <t>亀頭　晶子</t>
  </si>
  <si>
    <t>平田　文宏</t>
  </si>
  <si>
    <t>志々田　将幸</t>
  </si>
  <si>
    <t>穗積　高弘</t>
  </si>
  <si>
    <t>酒井　恭平</t>
  </si>
  <si>
    <t>池田　健一郎</t>
  </si>
  <si>
    <t>腎泌尿器科</t>
  </si>
  <si>
    <t>尾山　貴徳</t>
  </si>
  <si>
    <t>今岡　亜理紗</t>
  </si>
  <si>
    <t>網岡　慶</t>
  </si>
  <si>
    <t>吉水　功憲</t>
  </si>
  <si>
    <t>松隈　雅史</t>
  </si>
  <si>
    <t>隅岡　昭彦</t>
  </si>
  <si>
    <t>横畑　宏樹</t>
  </si>
  <si>
    <t>市場　啓嗣</t>
  </si>
  <si>
    <t>妹尾　淳弘</t>
  </si>
  <si>
    <t>日野　真太郎</t>
  </si>
  <si>
    <t>医療法人社団啓仁会中村外科胃腸科医院</t>
  </si>
  <si>
    <t>三好内科胃腸科</t>
  </si>
  <si>
    <t>佐々木内科クリニック</t>
  </si>
  <si>
    <t>藤本　修逸</t>
  </si>
  <si>
    <t>うえだ皮膚科</t>
  </si>
  <si>
    <t>砂田　光俊</t>
  </si>
  <si>
    <t>医療法人社団砂田内科</t>
  </si>
  <si>
    <t>松井　隆明</t>
  </si>
  <si>
    <t>内科、神経内科、リハビリテーション科</t>
  </si>
  <si>
    <t>関藤　雅喜</t>
  </si>
  <si>
    <t>秋月診療所</t>
  </si>
  <si>
    <t>内科、外科、リハビリテーション科</t>
  </si>
  <si>
    <t>とくも胃腸科皮ふ科</t>
  </si>
  <si>
    <t>住井　賢吾</t>
  </si>
  <si>
    <t>平岡　尚子</t>
  </si>
  <si>
    <t>医療法人社団ひまわり会小川内科胃腸科</t>
  </si>
  <si>
    <t>内科、呼吸器科、消化器科、アレルギー科、リハビリテーション科、循環器内科</t>
  </si>
  <si>
    <t>宮森　眞治</t>
  </si>
  <si>
    <t>児玉　節</t>
  </si>
  <si>
    <t>児玉医院</t>
  </si>
  <si>
    <t>一般財団法人広島結核予防協会　住吉浜病院</t>
  </si>
  <si>
    <t>福原　一作</t>
  </si>
  <si>
    <t>水内　健二</t>
  </si>
  <si>
    <t>大下　真太郎</t>
  </si>
  <si>
    <t>尾道市美ノ郷町白江597</t>
  </si>
  <si>
    <t>医療法人向田内科医院</t>
  </si>
  <si>
    <t>内科、消化器科、循環器科、外科、整形外科、心臓血管外科、リハビリテーション科</t>
  </si>
  <si>
    <t>竹本　雅雄</t>
  </si>
  <si>
    <t>竹本内科循環器科</t>
  </si>
  <si>
    <t>中村　俊平</t>
  </si>
  <si>
    <t>佐長　正則</t>
  </si>
  <si>
    <t>船町ふじおかクリニック</t>
  </si>
  <si>
    <t>徳毛　健治</t>
  </si>
  <si>
    <t>医療法人社団柚木外科医院</t>
  </si>
  <si>
    <t>堀内　至</t>
  </si>
  <si>
    <t>庄原同仁病院</t>
  </si>
  <si>
    <t>村尾　文規</t>
  </si>
  <si>
    <t>浅野　拓</t>
  </si>
  <si>
    <t>内科、小児科、リハビリテーション科</t>
  </si>
  <si>
    <t>久山　栄一</t>
  </si>
  <si>
    <t>樋口　輝昭</t>
  </si>
  <si>
    <t>坂下　充</t>
  </si>
  <si>
    <t>安藤　正則</t>
  </si>
  <si>
    <t>片山　紀彦</t>
  </si>
  <si>
    <t>江木　康夫</t>
  </si>
  <si>
    <t>外科、整形外科、麻酔科、ペインクリニック内科</t>
  </si>
  <si>
    <t>西亀　雄二</t>
  </si>
  <si>
    <t>佐々木　龍司</t>
  </si>
  <si>
    <t>内科、外科、整形外科、胃腸内科</t>
  </si>
  <si>
    <t>糖尿病・内分泌代謝内科</t>
  </si>
  <si>
    <t>檜田　毅</t>
  </si>
  <si>
    <t>檜垣　雅裕</t>
  </si>
  <si>
    <t>吉田　圭吾</t>
  </si>
  <si>
    <t>伊吹　尚久</t>
  </si>
  <si>
    <t>梶山　泰宏</t>
  </si>
  <si>
    <t>東條　環樹</t>
  </si>
  <si>
    <t>山県郡北広島町荒神原200</t>
  </si>
  <si>
    <t>医療法人髙橋医院</t>
  </si>
  <si>
    <t>三好　庸介</t>
  </si>
  <si>
    <t>医療法人社団豊和会豊田内科胃腸科</t>
  </si>
  <si>
    <t>土橋　敬弘</t>
  </si>
  <si>
    <t>内科、胃腸内科、消化器内科、循環器内科、呼吸器内科</t>
  </si>
  <si>
    <t>黒澤　逸郎</t>
  </si>
  <si>
    <t>黒澤波多見診療所</t>
  </si>
  <si>
    <t>よしかわ医院</t>
  </si>
  <si>
    <t>川野　宏則</t>
  </si>
  <si>
    <t>重藤　紀和</t>
  </si>
  <si>
    <t>黒瀬クリニック</t>
  </si>
  <si>
    <t>岡崎　哲和</t>
  </si>
  <si>
    <t>日地　正典</t>
  </si>
  <si>
    <t>内科、神経内科、リハビリテーション科、老年内科</t>
  </si>
  <si>
    <t>今福　健雄</t>
  </si>
  <si>
    <t>内科、呼吸器科、消化器科、循環器科、リハビリテーション科、放射線科、腎臓内科</t>
  </si>
  <si>
    <t>吉岡　孝</t>
  </si>
  <si>
    <t>有木医院</t>
  </si>
  <si>
    <t>河野　尚子</t>
  </si>
  <si>
    <t>藤本　吉範</t>
  </si>
  <si>
    <t>亀田　直毅</t>
  </si>
  <si>
    <t>小松　弘明</t>
  </si>
  <si>
    <t>須藤　哲史</t>
  </si>
  <si>
    <t>橘髙　諭</t>
  </si>
  <si>
    <t>佐古　篤謙</t>
  </si>
  <si>
    <t>季白　雅文</t>
  </si>
  <si>
    <t>森脇　和彦</t>
  </si>
  <si>
    <t>河本　紀一</t>
  </si>
  <si>
    <t>青景　正展</t>
  </si>
  <si>
    <t>青景医院</t>
  </si>
  <si>
    <t>浅野　稔</t>
  </si>
  <si>
    <t>医療法人社団浅野内科医院</t>
  </si>
  <si>
    <t>谷医院</t>
  </si>
  <si>
    <t>石飛　朋和</t>
  </si>
  <si>
    <t>水野　創一</t>
  </si>
  <si>
    <t>正岡　智子</t>
  </si>
  <si>
    <t>正岡クリニック</t>
  </si>
  <si>
    <t>藤野　豊寿</t>
  </si>
  <si>
    <t>平田　文孝</t>
  </si>
  <si>
    <t>医療法人たがしら医院</t>
  </si>
  <si>
    <t>松森　秀之</t>
  </si>
  <si>
    <t>内科、外科、整形外科、消化器内科</t>
  </si>
  <si>
    <t>倉田内科医院</t>
  </si>
  <si>
    <t>高美中央クリニック</t>
  </si>
  <si>
    <t>内科、胃腸科、小児科、外科、皮膚科</t>
  </si>
  <si>
    <t>医療法人社団奉佑会本多医院</t>
  </si>
  <si>
    <t>平賀　亮</t>
  </si>
  <si>
    <t>よつばクリニック</t>
  </si>
  <si>
    <t>近藤　哲司</t>
  </si>
  <si>
    <t>呉市下蒲刈町下島2498</t>
  </si>
  <si>
    <t>正岡　哲也</t>
  </si>
  <si>
    <t>正岡外科胃腸科医院</t>
  </si>
  <si>
    <t>医療法人社団杏佑会笠井病院</t>
  </si>
  <si>
    <t>消化器科、外科、整形外科、肛門科</t>
  </si>
  <si>
    <t>卜部　利眞</t>
  </si>
  <si>
    <t>医療法人社団卜部医院うらべ医院</t>
  </si>
  <si>
    <t>山内　亮</t>
  </si>
  <si>
    <t>佐々木　啓介</t>
  </si>
  <si>
    <t>原田　亘</t>
  </si>
  <si>
    <t>公立くい診療所</t>
  </si>
  <si>
    <t>中井　訓治</t>
  </si>
  <si>
    <t>半明　晃二</t>
  </si>
  <si>
    <t>内科、リハビリテーション科、麻酔科、人工透析内科</t>
  </si>
  <si>
    <t>木村　泰博</t>
  </si>
  <si>
    <t>吉川　仁</t>
  </si>
  <si>
    <t>廿日市市吉和診療所</t>
  </si>
  <si>
    <t>近森　正和</t>
  </si>
  <si>
    <t>庵谷　文夫</t>
  </si>
  <si>
    <t>福原　弘文</t>
  </si>
  <si>
    <t>医療法人福原内科クリニック</t>
  </si>
  <si>
    <t>医療法人社団吉久会松永脳外科クリニック</t>
  </si>
  <si>
    <t>南海田病院</t>
  </si>
  <si>
    <t>山中　良介</t>
  </si>
  <si>
    <t>医療法人緑康会　山根クリニック</t>
  </si>
  <si>
    <t>じごぜんクリニック</t>
  </si>
  <si>
    <t>佐長内科クリニック</t>
  </si>
  <si>
    <t>間所　直樹</t>
  </si>
  <si>
    <t>大谷　輝寿</t>
  </si>
  <si>
    <t>福原　純一</t>
  </si>
  <si>
    <t>福原内科医院</t>
  </si>
  <si>
    <t>えきや外科クリニック</t>
  </si>
  <si>
    <t>相原　直樹</t>
  </si>
  <si>
    <t>内科、小児科、消化器内科、循環器内科</t>
  </si>
  <si>
    <t>森久　悟</t>
  </si>
  <si>
    <t>三次市国民健康保険甲奴診療所</t>
  </si>
  <si>
    <t>沖田　元一</t>
  </si>
  <si>
    <t>医療法人佐々部診療所</t>
  </si>
  <si>
    <t>原　豊</t>
  </si>
  <si>
    <t>内科、緩和ケア、在宅療養</t>
  </si>
  <si>
    <t>岸　直彦</t>
  </si>
  <si>
    <t>平昭　浩司</t>
  </si>
  <si>
    <t>西垣内　啓二</t>
  </si>
  <si>
    <t>平野　克壽</t>
  </si>
  <si>
    <t>畠　洋子</t>
  </si>
  <si>
    <t>安芸高田市八千代町勝田448</t>
  </si>
  <si>
    <t>池田　響子</t>
  </si>
  <si>
    <t>長澤　弘明</t>
  </si>
  <si>
    <t>富永内科</t>
  </si>
  <si>
    <t>金吉　亜紀子</t>
  </si>
  <si>
    <t>西村　庸夫</t>
  </si>
  <si>
    <t>医療法人社団住幸会弓場医院</t>
  </si>
  <si>
    <t>内科、外科、整形外科、肛門外科、胃腸外科</t>
  </si>
  <si>
    <t>三宅医院</t>
  </si>
  <si>
    <t>石根　典幸</t>
  </si>
  <si>
    <t>医療法人社団いしねファミリークリニック</t>
  </si>
  <si>
    <t>岸槌　健太郎</t>
  </si>
  <si>
    <t>医療法人TakuYu会岸槌医院</t>
  </si>
  <si>
    <t>黒住　悟之</t>
  </si>
  <si>
    <t>医療法人北原会敬愛病院</t>
  </si>
  <si>
    <t>内科、胃腸科、外科、放射線科、肛門科</t>
  </si>
  <si>
    <t>土井　潤</t>
  </si>
  <si>
    <t>平岡　敬生</t>
  </si>
  <si>
    <t>医療法人社団平岡医院</t>
  </si>
  <si>
    <t>消化器科、胃腸科、外科、整形外科、リハビリテーション科</t>
  </si>
  <si>
    <t>医療法人社団みめぐみ会サンクリニックみなが</t>
  </si>
  <si>
    <t>くぼファミリークリニック</t>
  </si>
  <si>
    <t>中嶋　伸一郎</t>
  </si>
  <si>
    <t>中島内科</t>
  </si>
  <si>
    <t>福山医療生活協同組合城北診療所</t>
  </si>
  <si>
    <t>山本　亮輔</t>
  </si>
  <si>
    <t>内海　兆郎</t>
  </si>
  <si>
    <t>長谷川　修</t>
  </si>
  <si>
    <t>医療法人長谷川整形外科</t>
  </si>
  <si>
    <t>武島　裕爾</t>
  </si>
  <si>
    <t>医療法人アソカアソカの園武島医院</t>
  </si>
  <si>
    <t>大原内科循環器科</t>
  </si>
  <si>
    <t>国原　玄一郎</t>
  </si>
  <si>
    <t>医療法人宮島クリニック</t>
  </si>
  <si>
    <t>原田　能之</t>
  </si>
  <si>
    <t>内科、小児科、外科、整形外科</t>
  </si>
  <si>
    <t>鳴戸　謙嗣</t>
  </si>
  <si>
    <t>医療法人内科・外科鳴戸医院</t>
  </si>
  <si>
    <t>市川　勉</t>
  </si>
  <si>
    <t>内科、小児科、外科</t>
  </si>
  <si>
    <t>檜垣　卓夫</t>
  </si>
  <si>
    <t>医療法人ひがき眼科</t>
  </si>
  <si>
    <t>藤森　正彦</t>
  </si>
  <si>
    <t>周　鉅文</t>
  </si>
  <si>
    <t>田邊　敦</t>
  </si>
  <si>
    <t>医療法人社団三康会得能クリニック</t>
  </si>
  <si>
    <t>小西　正治</t>
  </si>
  <si>
    <t>医療法人社団豊会タカタ内科胃腸科</t>
  </si>
  <si>
    <t>田中　出</t>
  </si>
  <si>
    <t>田中メディカルクリニック</t>
  </si>
  <si>
    <t>医療法人妙好会ときや内科</t>
  </si>
  <si>
    <t>安部　夏子</t>
  </si>
  <si>
    <t>池田　光則</t>
  </si>
  <si>
    <t>三宅　規之</t>
  </si>
  <si>
    <t>飯星　知博</t>
  </si>
  <si>
    <t>岡本　康久</t>
  </si>
  <si>
    <t>古川　正愛</t>
  </si>
  <si>
    <t>東福山駅前クリニック</t>
  </si>
  <si>
    <t>杉山　大介</t>
  </si>
  <si>
    <t>武田　聖</t>
  </si>
  <si>
    <t>迫　正明</t>
  </si>
  <si>
    <t>胡麻田　学</t>
  </si>
  <si>
    <t>神原　穂奈美</t>
  </si>
  <si>
    <t>東広島市西条町御薗宇703</t>
  </si>
  <si>
    <t>三上　佳子</t>
  </si>
  <si>
    <t>みかみホームクリニック</t>
  </si>
  <si>
    <t>清水　ゆりえ</t>
  </si>
  <si>
    <t>医療法人穗の香いのうえ内科</t>
  </si>
  <si>
    <t>杉　桂二</t>
  </si>
  <si>
    <t>岡田　剛</t>
  </si>
  <si>
    <t>諫見　久惠</t>
  </si>
  <si>
    <t>星野　修司</t>
  </si>
  <si>
    <t>倉田　要</t>
  </si>
  <si>
    <t>みやざわ内科</t>
  </si>
  <si>
    <t>みよし内科</t>
  </si>
  <si>
    <t>松原　直矢</t>
  </si>
  <si>
    <t>平岩　千尋</t>
  </si>
  <si>
    <t>大塚　理紗</t>
  </si>
  <si>
    <t>須澤　仁</t>
  </si>
  <si>
    <t>平田　英生</t>
  </si>
  <si>
    <t>川本　雅夫</t>
  </si>
  <si>
    <t>田尻　和也</t>
  </si>
  <si>
    <t>藤谷　桜子</t>
  </si>
  <si>
    <t>桑田　秀範</t>
  </si>
  <si>
    <t>根岸　慎</t>
  </si>
  <si>
    <t>芦澤　慎一</t>
  </si>
  <si>
    <t>中尾医院</t>
  </si>
  <si>
    <t>内科、消化器科、循環器科、小児科、放射線科</t>
  </si>
  <si>
    <t>池上　隆</t>
  </si>
  <si>
    <t>濵﨑　政宏</t>
  </si>
  <si>
    <t>田中　敬治</t>
  </si>
  <si>
    <t>石根　周治</t>
  </si>
  <si>
    <t>長谷川　博司</t>
  </si>
  <si>
    <t>金本　麻裕</t>
  </si>
  <si>
    <t>福山市駅家町近田582</t>
    <phoneticPr fontId="1" type="Hiragana"/>
  </si>
  <si>
    <t>福山市駅家町上山守203</t>
    <phoneticPr fontId="1" type="Hiragana"/>
  </si>
  <si>
    <t>福山市駅家町万能倉347</t>
    <phoneticPr fontId="1" type="Hiragana"/>
  </si>
  <si>
    <t>指定有効
終了日</t>
    <phoneticPr fontId="1" type="Hiragana"/>
  </si>
  <si>
    <t>指定難病　指定医医一覧</t>
    <rPh sb="0" eb="2">
      <t>してい</t>
    </rPh>
    <rPh sb="2" eb="4">
      <t>なんびょう</t>
    </rPh>
    <rPh sb="5" eb="8">
      <t>していい</t>
    </rPh>
    <rPh sb="8" eb="9">
      <t>い</t>
    </rPh>
    <rPh sb="9" eb="11">
      <t>いちらん</t>
    </rPh>
    <phoneticPr fontId="1" type="Hiragana"/>
  </si>
  <si>
    <t>❖令和6年6月30日現在</t>
    <rPh sb="1" eb="3">
      <t>れいわ</t>
    </rPh>
    <rPh sb="4" eb="5">
      <t>ねん</t>
    </rPh>
    <rPh sb="6" eb="7">
      <t>げつ</t>
    </rPh>
    <rPh sb="9" eb="10">
      <t>にち</t>
    </rPh>
    <rPh sb="10" eb="12">
      <t>げんざい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</si>
</sst>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3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57" fontId="2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44" formatCode="[$-411]ge\.m\.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F096FD-D001-448E-A882-DB53AAEFF33C}" name="テーブル1" displayName="テーブル1" ref="A3:E1722" totalsRowShown="0" headerRowDxfId="6" dataDxfId="5">
  <autoFilter ref="A3:E1722" xr:uid="{C2F096FD-D001-448E-A882-DB53AAEFF33C}"/>
  <tableColumns count="5">
    <tableColumn id="1" xr3:uid="{A7EEEB48-B7A7-4D91-9458-C2FCE89BE8D7}" name="氏名" dataDxfId="4"/>
    <tableColumn id="2" xr3:uid="{42AEADB5-A5A7-4714-AE6E-B134EA00E610}" name="勤務先名称" dataDxfId="3"/>
    <tableColumn id="3" xr3:uid="{8C2E6DB1-B5F6-4163-9E85-0E031DDC0568}" name="勤務先住所" dataDxfId="2"/>
    <tableColumn id="4" xr3:uid="{FA65B38D-95F1-4294-A372-A3CF37DA3902}" name="担当診療科目名" dataDxfId="1"/>
    <tableColumn id="5" xr3:uid="{F43838EA-7D15-4345-B406-A9746FDE07B3}" name="指定有効_x000a_終了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2"/>
  <sheetViews>
    <sheetView tabSelected="1" zoomScaleNormal="100" zoomScaleSheetLayoutView="100" workbookViewId="0">
      <selection activeCell="H11" sqref="H11"/>
    </sheetView>
  </sheetViews>
  <sheetFormatPr defaultRowHeight="18.75" x14ac:dyDescent="0.4"/>
  <cols>
    <col min="1" max="1" width="11.125" customWidth="1"/>
    <col min="2" max="2" width="25.625" style="4" customWidth="1"/>
    <col min="3" max="3" width="20.625" style="4" customWidth="1"/>
    <col min="4" max="4" width="23.625" style="4" customWidth="1"/>
    <col min="5" max="5" width="8.625" customWidth="1"/>
  </cols>
  <sheetData>
    <row r="1" spans="1:6" ht="19.5" x14ac:dyDescent="0.4">
      <c r="A1" s="7" t="s">
        <v>2778</v>
      </c>
      <c r="B1" s="8"/>
      <c r="C1" s="8"/>
      <c r="D1" s="8"/>
      <c r="E1" s="8"/>
    </row>
    <row r="2" spans="1:6" x14ac:dyDescent="0.4">
      <c r="A2" t="s">
        <v>2779</v>
      </c>
    </row>
    <row r="3" spans="1:6" ht="24.95" customHeight="1" x14ac:dyDescent="0.4">
      <c r="A3" s="6" t="s">
        <v>3</v>
      </c>
      <c r="B3" s="6" t="s">
        <v>17</v>
      </c>
      <c r="C3" s="6" t="s">
        <v>18</v>
      </c>
      <c r="D3" s="6" t="s">
        <v>36</v>
      </c>
      <c r="E3" s="6" t="s">
        <v>2777</v>
      </c>
      <c r="F3" s="2"/>
    </row>
    <row r="4" spans="1:6" ht="24.95" customHeight="1" x14ac:dyDescent="0.4">
      <c r="A4" s="2" t="s">
        <v>781</v>
      </c>
      <c r="B4" s="1" t="s">
        <v>2087</v>
      </c>
      <c r="C4" s="1" t="str">
        <f>"呉市阿賀中央6-2-1-2F"</f>
        <v>呉市阿賀中央6-2-1-2F</v>
      </c>
      <c r="D4" s="1" t="s">
        <v>139</v>
      </c>
      <c r="E4" s="3">
        <v>47087</v>
      </c>
      <c r="F4" s="2"/>
    </row>
    <row r="5" spans="1:6" ht="24.95" customHeight="1" x14ac:dyDescent="0.4">
      <c r="A5" s="2" t="s">
        <v>276</v>
      </c>
      <c r="B5" s="1" t="s">
        <v>253</v>
      </c>
      <c r="C5" s="1" t="str">
        <f>"呉市阿賀中央6-7-24"</f>
        <v>呉市阿賀中央6-7-24</v>
      </c>
      <c r="D5" s="1" t="s">
        <v>279</v>
      </c>
      <c r="E5" s="3">
        <v>47087</v>
      </c>
      <c r="F5" s="2"/>
    </row>
    <row r="6" spans="1:6" ht="24.95" customHeight="1" x14ac:dyDescent="0.4">
      <c r="A6" s="2" t="s">
        <v>587</v>
      </c>
      <c r="B6" s="1" t="s">
        <v>256</v>
      </c>
      <c r="C6" s="1" t="str">
        <f>"呉市阿賀北1-14-15"</f>
        <v>呉市阿賀北1-14-15</v>
      </c>
      <c r="D6" s="1" t="s">
        <v>79</v>
      </c>
      <c r="E6" s="3">
        <v>47087</v>
      </c>
      <c r="F6" s="2"/>
    </row>
    <row r="7" spans="1:6" ht="24.95" customHeight="1" x14ac:dyDescent="0.4">
      <c r="A7" s="2" t="s">
        <v>1665</v>
      </c>
      <c r="B7" s="1" t="s">
        <v>256</v>
      </c>
      <c r="C7" s="1" t="str">
        <f>"呉市阿賀北1-14-15"</f>
        <v>呉市阿賀北1-14-15</v>
      </c>
      <c r="D7" s="1" t="s">
        <v>1159</v>
      </c>
      <c r="E7" s="3">
        <v>47087</v>
      </c>
      <c r="F7" s="2"/>
    </row>
    <row r="8" spans="1:6" ht="24.95" customHeight="1" x14ac:dyDescent="0.4">
      <c r="A8" s="2" t="s">
        <v>156</v>
      </c>
      <c r="B8" s="1" t="s">
        <v>1229</v>
      </c>
      <c r="C8" s="1" t="str">
        <f>"呉市阿賀北3-4-11"</f>
        <v>呉市阿賀北3-4-11</v>
      </c>
      <c r="D8" s="1" t="s">
        <v>531</v>
      </c>
      <c r="E8" s="3">
        <v>47087</v>
      </c>
      <c r="F8" s="2"/>
    </row>
    <row r="9" spans="1:6" ht="24.95" customHeight="1" x14ac:dyDescent="0.4">
      <c r="A9" s="2" t="s">
        <v>2069</v>
      </c>
      <c r="B9" s="1" t="s">
        <v>2070</v>
      </c>
      <c r="C9" s="1" t="str">
        <f>"呉市阿賀北5-15-3"</f>
        <v>呉市阿賀北5-15-3</v>
      </c>
      <c r="D9" s="1" t="s">
        <v>597</v>
      </c>
      <c r="E9" s="3">
        <v>47087</v>
      </c>
      <c r="F9" s="2"/>
    </row>
    <row r="10" spans="1:6" ht="24.95" customHeight="1" x14ac:dyDescent="0.4">
      <c r="A10" s="2" t="s">
        <v>2575</v>
      </c>
      <c r="B10" s="1" t="s">
        <v>2070</v>
      </c>
      <c r="C10" s="1" t="str">
        <f>"呉市阿賀北5-15-3"</f>
        <v>呉市阿賀北5-15-3</v>
      </c>
      <c r="D10" s="1" t="s">
        <v>30</v>
      </c>
      <c r="E10" s="3">
        <v>45991</v>
      </c>
      <c r="F10" s="2"/>
    </row>
    <row r="11" spans="1:6" ht="24.95" customHeight="1" x14ac:dyDescent="0.4">
      <c r="A11" s="2" t="s">
        <v>854</v>
      </c>
      <c r="B11" s="1" t="s">
        <v>1025</v>
      </c>
      <c r="C11" s="1" t="str">
        <f>"呉市安浦町安登西6-1-39"</f>
        <v>呉市安浦町安登西6-1-39</v>
      </c>
      <c r="D11" s="1" t="s">
        <v>30</v>
      </c>
      <c r="E11" s="3">
        <v>47087</v>
      </c>
      <c r="F11" s="2"/>
    </row>
    <row r="12" spans="1:6" ht="24.95" customHeight="1" x14ac:dyDescent="0.4">
      <c r="A12" s="2" t="s">
        <v>2414</v>
      </c>
      <c r="B12" s="1" t="s">
        <v>2415</v>
      </c>
      <c r="C12" s="1" t="str">
        <f>"呉市安浦町中央5-12-50"</f>
        <v>呉市安浦町中央5-12-50</v>
      </c>
      <c r="D12" s="1" t="s">
        <v>30</v>
      </c>
      <c r="E12" s="3">
        <v>45991</v>
      </c>
      <c r="F12" s="2"/>
    </row>
    <row r="13" spans="1:6" ht="24.95" customHeight="1" x14ac:dyDescent="0.4">
      <c r="A13" s="2" t="s">
        <v>327</v>
      </c>
      <c r="B13" s="1" t="s">
        <v>390</v>
      </c>
      <c r="C13" s="1" t="str">
        <f>"呉市安浦町中央5-2-37"</f>
        <v>呉市安浦町中央5-2-37</v>
      </c>
      <c r="D13" s="1" t="s">
        <v>139</v>
      </c>
      <c r="E13" s="3">
        <v>47087</v>
      </c>
      <c r="F13" s="2"/>
    </row>
    <row r="14" spans="1:6" ht="24.95" customHeight="1" x14ac:dyDescent="0.4">
      <c r="A14" s="2" t="s">
        <v>1887</v>
      </c>
      <c r="B14" s="1" t="s">
        <v>1894</v>
      </c>
      <c r="C14" s="1" t="str">
        <f>"呉市音戸町引地1-5-60"</f>
        <v>呉市音戸町引地1-5-60</v>
      </c>
      <c r="D14" s="1" t="s">
        <v>1124</v>
      </c>
      <c r="E14" s="3">
        <v>47087</v>
      </c>
      <c r="F14" s="2"/>
    </row>
    <row r="15" spans="1:6" ht="24.95" customHeight="1" x14ac:dyDescent="0.4">
      <c r="A15" s="2" t="s">
        <v>1334</v>
      </c>
      <c r="B15" s="1" t="s">
        <v>50</v>
      </c>
      <c r="C15" s="1" t="str">
        <f>"呉市音戸町田原2-2-8"</f>
        <v>呉市音戸町田原2-2-8</v>
      </c>
      <c r="D15" s="1" t="s">
        <v>30</v>
      </c>
      <c r="E15" s="3">
        <v>47087</v>
      </c>
      <c r="F15" s="2"/>
    </row>
    <row r="16" spans="1:6" ht="24.95" customHeight="1" x14ac:dyDescent="0.4">
      <c r="A16" s="2" t="s">
        <v>2101</v>
      </c>
      <c r="B16" s="1" t="s">
        <v>917</v>
      </c>
      <c r="C16" s="1" t="str">
        <f>"呉市音戸町渡子2-27-3"</f>
        <v>呉市音戸町渡子2-27-3</v>
      </c>
      <c r="D16" s="1" t="s">
        <v>41</v>
      </c>
      <c r="E16" s="3">
        <v>47087</v>
      </c>
      <c r="F16" s="2"/>
    </row>
    <row r="17" spans="1:6" ht="24.95" customHeight="1" x14ac:dyDescent="0.4">
      <c r="A17" s="2" t="s">
        <v>2331</v>
      </c>
      <c r="B17" s="1" t="s">
        <v>2333</v>
      </c>
      <c r="C17" s="1" t="str">
        <f>"呉市音戸町南隠渡1-5-14"</f>
        <v>呉市音戸町南隠渡1-5-14</v>
      </c>
      <c r="D17" s="1" t="s">
        <v>67</v>
      </c>
      <c r="E17" s="3">
        <v>47087</v>
      </c>
      <c r="F17" s="2"/>
    </row>
    <row r="18" spans="1:6" ht="24.95" customHeight="1" x14ac:dyDescent="0.4">
      <c r="A18" s="2" t="s">
        <v>2591</v>
      </c>
      <c r="B18" s="1" t="s">
        <v>2592</v>
      </c>
      <c r="C18" s="1" t="str">
        <f>"呉市音戸町波多見5-16-12"</f>
        <v>呉市音戸町波多見5-16-12</v>
      </c>
      <c r="D18" s="1" t="s">
        <v>30</v>
      </c>
      <c r="E18" s="3">
        <v>47087</v>
      </c>
      <c r="F18" s="2"/>
    </row>
    <row r="19" spans="1:6" ht="24.95" customHeight="1" x14ac:dyDescent="0.4">
      <c r="A19" s="2" t="s">
        <v>2153</v>
      </c>
      <c r="B19" s="1" t="s">
        <v>1024</v>
      </c>
      <c r="C19" s="1" t="str">
        <f>"呉市下蒲刈町下島2120-4"</f>
        <v>呉市下蒲刈町下島2120-4</v>
      </c>
      <c r="D19" s="1" t="s">
        <v>531</v>
      </c>
      <c r="E19" s="3">
        <v>45991</v>
      </c>
      <c r="F19" s="2"/>
    </row>
    <row r="20" spans="1:6" ht="24.95" customHeight="1" x14ac:dyDescent="0.4">
      <c r="A20" s="2" t="s">
        <v>2696</v>
      </c>
      <c r="B20" s="1" t="s">
        <v>1024</v>
      </c>
      <c r="C20" s="1" t="str">
        <f>"呉市下蒲刈町下島2120-4"</f>
        <v>呉市下蒲刈町下島2120-4</v>
      </c>
      <c r="D20" s="1" t="s">
        <v>30</v>
      </c>
      <c r="E20" s="3">
        <v>45991</v>
      </c>
      <c r="F20" s="2"/>
    </row>
    <row r="21" spans="1:6" ht="24.95" customHeight="1" x14ac:dyDescent="0.4">
      <c r="A21" s="2" t="s">
        <v>1781</v>
      </c>
      <c r="B21" s="1" t="s">
        <v>2549</v>
      </c>
      <c r="C21" s="1" t="s">
        <v>2635</v>
      </c>
      <c r="D21" s="1" t="s">
        <v>30</v>
      </c>
      <c r="E21" s="3">
        <v>47087</v>
      </c>
      <c r="F21" s="2"/>
    </row>
    <row r="22" spans="1:6" ht="24.95" customHeight="1" x14ac:dyDescent="0.4">
      <c r="A22" s="2" t="s">
        <v>1042</v>
      </c>
      <c r="B22" s="1" t="s">
        <v>2549</v>
      </c>
      <c r="C22" s="1" t="s">
        <v>2635</v>
      </c>
      <c r="D22" s="1" t="s">
        <v>30</v>
      </c>
      <c r="E22" s="3">
        <v>47087</v>
      </c>
      <c r="F22" s="2"/>
    </row>
    <row r="23" spans="1:6" ht="24.95" customHeight="1" x14ac:dyDescent="0.4">
      <c r="A23" s="2" t="s">
        <v>1935</v>
      </c>
      <c r="B23" s="1" t="s">
        <v>2701</v>
      </c>
      <c r="C23" s="1" t="str">
        <f>"呉市海岸1-3-4"</f>
        <v>呉市海岸1-3-4</v>
      </c>
      <c r="D23" s="1" t="s">
        <v>1143</v>
      </c>
      <c r="E23" s="3">
        <v>46356</v>
      </c>
      <c r="F23" s="2"/>
    </row>
    <row r="24" spans="1:6" ht="24.95" customHeight="1" x14ac:dyDescent="0.4">
      <c r="A24" s="2" t="s">
        <v>2691</v>
      </c>
      <c r="B24" s="1" t="s">
        <v>2692</v>
      </c>
      <c r="C24" s="1" t="str">
        <f>"呉市海岸2-16-12"</f>
        <v>呉市海岸2-16-12</v>
      </c>
      <c r="D24" s="1" t="s">
        <v>1870</v>
      </c>
      <c r="E24" s="3">
        <v>47087</v>
      </c>
      <c r="F24" s="2"/>
    </row>
    <row r="25" spans="1:6" ht="24.95" customHeight="1" x14ac:dyDescent="0.4">
      <c r="A25" s="2" t="s">
        <v>2501</v>
      </c>
      <c r="B25" s="1" t="s">
        <v>1833</v>
      </c>
      <c r="C25" s="1" t="str">
        <f>"呉市吉浦宮花町7-11"</f>
        <v>呉市吉浦宮花町7-11</v>
      </c>
      <c r="D25" s="1" t="s">
        <v>30</v>
      </c>
      <c r="E25" s="3">
        <v>47087</v>
      </c>
      <c r="F25" s="2"/>
    </row>
    <row r="26" spans="1:6" ht="24.95" customHeight="1" x14ac:dyDescent="0.4">
      <c r="A26" s="2" t="s">
        <v>2673</v>
      </c>
      <c r="B26" s="1" t="s">
        <v>1856</v>
      </c>
      <c r="C26" s="1" t="str">
        <f>"呉市吉浦東本町1-7-4"</f>
        <v>呉市吉浦東本町1-7-4</v>
      </c>
      <c r="D26" s="1" t="s">
        <v>2160</v>
      </c>
      <c r="E26" s="3">
        <v>47087</v>
      </c>
      <c r="F26" s="2"/>
    </row>
    <row r="27" spans="1:6" ht="24.95" customHeight="1" x14ac:dyDescent="0.4">
      <c r="A27" s="2" t="s">
        <v>1896</v>
      </c>
      <c r="B27" s="1" t="s">
        <v>1756</v>
      </c>
      <c r="C27" s="1" t="str">
        <f>"呉市吉浦本町1-2-3"</f>
        <v>呉市吉浦本町1-2-3</v>
      </c>
      <c r="D27" s="1" t="s">
        <v>964</v>
      </c>
      <c r="E27" s="3">
        <v>47087</v>
      </c>
      <c r="F27" s="2"/>
    </row>
    <row r="28" spans="1:6" ht="24.95" customHeight="1" x14ac:dyDescent="0.4">
      <c r="A28" s="2" t="s">
        <v>1656</v>
      </c>
      <c r="B28" s="1" t="s">
        <v>580</v>
      </c>
      <c r="C28" s="1" t="str">
        <f>"呉市宮原11-3-14"</f>
        <v>呉市宮原11-3-14</v>
      </c>
      <c r="D28" s="1" t="s">
        <v>628</v>
      </c>
      <c r="E28" s="3">
        <v>47087</v>
      </c>
      <c r="F28" s="2"/>
    </row>
    <row r="29" spans="1:6" ht="24.95" customHeight="1" x14ac:dyDescent="0.4">
      <c r="A29" s="2" t="s">
        <v>993</v>
      </c>
      <c r="B29" s="1" t="s">
        <v>1287</v>
      </c>
      <c r="C29" s="1" t="str">
        <f>"呉市宮原13-2-12"</f>
        <v>呉市宮原13-2-12</v>
      </c>
      <c r="D29" s="1" t="s">
        <v>576</v>
      </c>
      <c r="E29" s="3">
        <v>47087</v>
      </c>
      <c r="F29" s="2"/>
    </row>
    <row r="30" spans="1:6" ht="24.95" customHeight="1" x14ac:dyDescent="0.4">
      <c r="A30" s="2" t="s">
        <v>579</v>
      </c>
      <c r="B30" s="1" t="s">
        <v>1287</v>
      </c>
      <c r="C30" s="1" t="str">
        <f>"呉市宮原13-2-12"</f>
        <v>呉市宮原13-2-12</v>
      </c>
      <c r="D30" s="1" t="s">
        <v>104</v>
      </c>
      <c r="E30" s="3">
        <v>45991</v>
      </c>
      <c r="F30" s="2"/>
    </row>
    <row r="31" spans="1:6" ht="24.95" customHeight="1" x14ac:dyDescent="0.4">
      <c r="A31" s="2" t="s">
        <v>252</v>
      </c>
      <c r="B31" s="1" t="s">
        <v>1227</v>
      </c>
      <c r="C31" s="1" t="str">
        <f>"呉市郷原町2379-42"</f>
        <v>呉市郷原町2379-42</v>
      </c>
      <c r="D31" s="1" t="s">
        <v>324</v>
      </c>
      <c r="E31" s="3">
        <v>47087</v>
      </c>
      <c r="F31" s="2"/>
    </row>
    <row r="32" spans="1:6" ht="24.95" customHeight="1" x14ac:dyDescent="0.4">
      <c r="A32" s="2" t="s">
        <v>200</v>
      </c>
      <c r="B32" s="1" t="s">
        <v>1227</v>
      </c>
      <c r="C32" s="1" t="str">
        <f>"呉市郷原町2379-42"</f>
        <v>呉市郷原町2379-42</v>
      </c>
      <c r="D32" s="1" t="s">
        <v>576</v>
      </c>
      <c r="E32" s="3">
        <v>47087</v>
      </c>
      <c r="F32" s="2"/>
    </row>
    <row r="33" spans="1:6" ht="24.95" customHeight="1" x14ac:dyDescent="0.4">
      <c r="A33" s="2" t="s">
        <v>634</v>
      </c>
      <c r="B33" s="1" t="s">
        <v>1227</v>
      </c>
      <c r="C33" s="1" t="str">
        <f>"呉市郷原町2379-42"</f>
        <v>呉市郷原町2379-42</v>
      </c>
      <c r="D33" s="1" t="s">
        <v>30</v>
      </c>
      <c r="E33" s="3">
        <v>47087</v>
      </c>
      <c r="F33" s="2"/>
    </row>
    <row r="34" spans="1:6" ht="24.95" customHeight="1" x14ac:dyDescent="0.4">
      <c r="A34" s="2" t="s">
        <v>841</v>
      </c>
      <c r="B34" s="1" t="s">
        <v>1227</v>
      </c>
      <c r="C34" s="1" t="str">
        <f>"呉市郷原町2379-42"</f>
        <v>呉市郷原町2379-42</v>
      </c>
      <c r="D34" s="1" t="s">
        <v>30</v>
      </c>
      <c r="E34" s="3">
        <v>47087</v>
      </c>
      <c r="F34" s="2"/>
    </row>
    <row r="35" spans="1:6" ht="24.95" customHeight="1" x14ac:dyDescent="0.4">
      <c r="A35" s="2" t="s">
        <v>811</v>
      </c>
      <c r="B35" s="1" t="s">
        <v>595</v>
      </c>
      <c r="C35" s="1" t="str">
        <f>"呉市警固屋4-2-11"</f>
        <v>呉市警固屋4-2-11</v>
      </c>
      <c r="D35" s="1" t="s">
        <v>139</v>
      </c>
      <c r="E35" s="3">
        <v>47087</v>
      </c>
      <c r="F35" s="2"/>
    </row>
    <row r="36" spans="1:6" ht="24.95" customHeight="1" x14ac:dyDescent="0.4">
      <c r="A36" s="2" t="s">
        <v>337</v>
      </c>
      <c r="B36" s="1" t="s">
        <v>359</v>
      </c>
      <c r="C36" s="1" t="str">
        <f>"呉市広駅前1-1-10"</f>
        <v>呉市広駅前1-1-10</v>
      </c>
      <c r="D36" s="1" t="s">
        <v>30</v>
      </c>
      <c r="E36" s="3">
        <v>47087</v>
      </c>
      <c r="F36" s="2"/>
    </row>
    <row r="37" spans="1:6" ht="24.95" customHeight="1" x14ac:dyDescent="0.4">
      <c r="A37" s="2" t="s">
        <v>957</v>
      </c>
      <c r="B37" s="1" t="s">
        <v>1063</v>
      </c>
      <c r="C37" s="1" t="str">
        <f>"呉市広駅前1-4-58"</f>
        <v>呉市広駅前1-4-58</v>
      </c>
      <c r="D37" s="5" t="s">
        <v>1489</v>
      </c>
      <c r="E37" s="3">
        <v>47087</v>
      </c>
      <c r="F37" s="2"/>
    </row>
    <row r="38" spans="1:6" ht="24.95" customHeight="1" x14ac:dyDescent="0.4">
      <c r="A38" s="2" t="s">
        <v>766</v>
      </c>
      <c r="B38" s="1" t="s">
        <v>1063</v>
      </c>
      <c r="C38" s="1" t="str">
        <f>"呉市広駅前1-4-58"</f>
        <v>呉市広駅前1-4-58</v>
      </c>
      <c r="D38" s="5" t="s">
        <v>1489</v>
      </c>
      <c r="E38" s="3">
        <v>47087</v>
      </c>
      <c r="F38" s="2"/>
    </row>
    <row r="39" spans="1:6" ht="24.95" customHeight="1" x14ac:dyDescent="0.4">
      <c r="A39" s="2" t="s">
        <v>1609</v>
      </c>
      <c r="B39" s="1" t="s">
        <v>1063</v>
      </c>
      <c r="C39" s="1" t="str">
        <f>"呉市広駅前1-4-58"</f>
        <v>呉市広駅前1-4-58</v>
      </c>
      <c r="D39" s="5" t="s">
        <v>1489</v>
      </c>
      <c r="E39" s="3">
        <v>47087</v>
      </c>
      <c r="F39" s="2"/>
    </row>
    <row r="40" spans="1:6" ht="24.95" customHeight="1" x14ac:dyDescent="0.4">
      <c r="A40" s="2" t="s">
        <v>2496</v>
      </c>
      <c r="B40" s="1" t="s">
        <v>1063</v>
      </c>
      <c r="C40" s="1" t="str">
        <f>"呉市広駅前1-4-58"</f>
        <v>呉市広駅前1-4-58</v>
      </c>
      <c r="D40" s="1" t="s">
        <v>2194</v>
      </c>
      <c r="E40" s="3">
        <v>46721</v>
      </c>
      <c r="F40" s="2"/>
    </row>
    <row r="41" spans="1:6" ht="24.95" customHeight="1" x14ac:dyDescent="0.4">
      <c r="A41" s="2" t="s">
        <v>380</v>
      </c>
      <c r="B41" s="1" t="s">
        <v>400</v>
      </c>
      <c r="C41" s="1" t="str">
        <f>"呉市広古新開1-1-31"</f>
        <v>呉市広古新開1-1-31</v>
      </c>
      <c r="D41" s="1" t="s">
        <v>512</v>
      </c>
      <c r="E41" s="3">
        <v>47087</v>
      </c>
      <c r="F41" s="2"/>
    </row>
    <row r="42" spans="1:6" ht="24.95" customHeight="1" x14ac:dyDescent="0.4">
      <c r="A42" s="2" t="s">
        <v>1655</v>
      </c>
      <c r="B42" s="1" t="s">
        <v>1578</v>
      </c>
      <c r="C42" s="1" t="str">
        <f>"呉市広古新開2-5-20"</f>
        <v>呉市広古新開2-5-20</v>
      </c>
      <c r="D42" s="1" t="s">
        <v>122</v>
      </c>
      <c r="E42" s="3">
        <v>47087</v>
      </c>
      <c r="F42" s="2"/>
    </row>
    <row r="43" spans="1:6" ht="24.95" customHeight="1" x14ac:dyDescent="0.4">
      <c r="A43" s="2" t="s">
        <v>1171</v>
      </c>
      <c r="B43" s="1" t="s">
        <v>1578</v>
      </c>
      <c r="C43" s="1" t="str">
        <f>"呉市広古新開2-5-20"</f>
        <v>呉市広古新開2-5-20</v>
      </c>
      <c r="D43" s="1" t="s">
        <v>122</v>
      </c>
      <c r="E43" s="3">
        <v>46721</v>
      </c>
      <c r="F43" s="2"/>
    </row>
    <row r="44" spans="1:6" ht="24.95" customHeight="1" x14ac:dyDescent="0.4">
      <c r="A44" s="2" t="s">
        <v>2220</v>
      </c>
      <c r="B44" s="1" t="s">
        <v>525</v>
      </c>
      <c r="C44" s="1" t="str">
        <f>"呉市広古新開7-21-14"</f>
        <v>呉市広古新開7-21-14</v>
      </c>
      <c r="D44" s="1" t="s">
        <v>717</v>
      </c>
      <c r="E44" s="3">
        <v>45991</v>
      </c>
      <c r="F44" s="2"/>
    </row>
    <row r="45" spans="1:6" ht="24.95" customHeight="1" x14ac:dyDescent="0.4">
      <c r="A45" s="2" t="s">
        <v>1535</v>
      </c>
      <c r="B45" s="1" t="s">
        <v>1478</v>
      </c>
      <c r="C45" s="1" t="str">
        <f>"呉市広古新開7-23-9"</f>
        <v>呉市広古新開7-23-9</v>
      </c>
      <c r="D45" s="1" t="s">
        <v>88</v>
      </c>
      <c r="E45" s="3">
        <v>47087</v>
      </c>
      <c r="F45" s="2"/>
    </row>
    <row r="46" spans="1:6" ht="24.95" customHeight="1" x14ac:dyDescent="0.4">
      <c r="A46" s="2" t="s">
        <v>1999</v>
      </c>
      <c r="B46" s="1" t="s">
        <v>2000</v>
      </c>
      <c r="C46" s="1" t="str">
        <f>"呉市広古新開7-23-9"</f>
        <v>呉市広古新開7-23-9</v>
      </c>
      <c r="D46" s="1" t="s">
        <v>104</v>
      </c>
      <c r="E46" s="3">
        <v>47087</v>
      </c>
      <c r="F46" s="2"/>
    </row>
    <row r="47" spans="1:6" ht="24.95" customHeight="1" x14ac:dyDescent="0.4">
      <c r="A47" s="2" t="s">
        <v>1410</v>
      </c>
      <c r="B47" s="1" t="s">
        <v>1411</v>
      </c>
      <c r="C47" s="1" t="str">
        <f>"呉市広古新開7-24-3-202"</f>
        <v>呉市広古新開7-24-3-202</v>
      </c>
      <c r="D47" s="1" t="s">
        <v>139</v>
      </c>
      <c r="E47" s="3">
        <v>47087</v>
      </c>
      <c r="F47" s="2"/>
    </row>
    <row r="48" spans="1:6" ht="24.95" customHeight="1" x14ac:dyDescent="0.4">
      <c r="A48" s="2" t="s">
        <v>1412</v>
      </c>
      <c r="B48" s="1" t="s">
        <v>1219</v>
      </c>
      <c r="C48" s="1" t="str">
        <f>"呉市広古新開7-24-3-302"</f>
        <v>呉市広古新開7-24-3-302</v>
      </c>
      <c r="D48" s="1" t="s">
        <v>220</v>
      </c>
      <c r="E48" s="3">
        <v>47087</v>
      </c>
      <c r="F48" s="2"/>
    </row>
    <row r="49" spans="1:6" ht="24.95" customHeight="1" x14ac:dyDescent="0.4">
      <c r="A49" s="2" t="s">
        <v>1149</v>
      </c>
      <c r="B49" s="1" t="s">
        <v>1150</v>
      </c>
      <c r="C49" s="1" t="str">
        <f>"呉市広古新開8-32-4"</f>
        <v>呉市広古新開8-32-4</v>
      </c>
      <c r="D49" s="1" t="s">
        <v>201</v>
      </c>
      <c r="E49" s="3">
        <v>47087</v>
      </c>
      <c r="F49" s="2"/>
    </row>
    <row r="50" spans="1:6" ht="24.95" customHeight="1" x14ac:dyDescent="0.4">
      <c r="A50" s="2" t="s">
        <v>398</v>
      </c>
      <c r="B50" s="1" t="s">
        <v>222</v>
      </c>
      <c r="C50" s="1" t="str">
        <f t="shared" ref="C50:C89" si="0">"呉市広多賀谷1-5-1"</f>
        <v>呉市広多賀谷1-5-1</v>
      </c>
      <c r="D50" s="1" t="s">
        <v>30</v>
      </c>
      <c r="E50" s="3">
        <v>47087</v>
      </c>
      <c r="F50" s="2"/>
    </row>
    <row r="51" spans="1:6" ht="24.95" customHeight="1" x14ac:dyDescent="0.4">
      <c r="A51" s="2" t="s">
        <v>1058</v>
      </c>
      <c r="B51" s="1" t="s">
        <v>222</v>
      </c>
      <c r="C51" s="1" t="str">
        <f t="shared" si="0"/>
        <v>呉市広多賀谷1-5-1</v>
      </c>
      <c r="D51" s="1" t="s">
        <v>30</v>
      </c>
      <c r="E51" s="3">
        <v>47087</v>
      </c>
      <c r="F51" s="2"/>
    </row>
    <row r="52" spans="1:6" ht="24.95" customHeight="1" x14ac:dyDescent="0.4">
      <c r="A52" s="2" t="s">
        <v>1514</v>
      </c>
      <c r="B52" s="1" t="s">
        <v>222</v>
      </c>
      <c r="C52" s="1" t="str">
        <f t="shared" si="0"/>
        <v>呉市広多賀谷1-5-1</v>
      </c>
      <c r="D52" s="1" t="s">
        <v>79</v>
      </c>
      <c r="E52" s="3">
        <v>47087</v>
      </c>
      <c r="F52" s="2"/>
    </row>
    <row r="53" spans="1:6" ht="24.95" customHeight="1" x14ac:dyDescent="0.4">
      <c r="A53" s="2" t="s">
        <v>795</v>
      </c>
      <c r="B53" s="1" t="s">
        <v>222</v>
      </c>
      <c r="C53" s="1" t="str">
        <f t="shared" si="0"/>
        <v>呉市広多賀谷1-5-1</v>
      </c>
      <c r="D53" s="1" t="s">
        <v>104</v>
      </c>
      <c r="E53" s="3">
        <v>47087</v>
      </c>
      <c r="F53" s="2"/>
    </row>
    <row r="54" spans="1:6" ht="24.95" customHeight="1" x14ac:dyDescent="0.4">
      <c r="A54" s="2" t="s">
        <v>1516</v>
      </c>
      <c r="B54" s="1" t="s">
        <v>222</v>
      </c>
      <c r="C54" s="1" t="str">
        <f t="shared" si="0"/>
        <v>呉市広多賀谷1-5-1</v>
      </c>
      <c r="D54" s="1" t="s">
        <v>104</v>
      </c>
      <c r="E54" s="3">
        <v>47087</v>
      </c>
      <c r="F54" s="2"/>
    </row>
    <row r="55" spans="1:6" ht="24.95" customHeight="1" x14ac:dyDescent="0.4">
      <c r="A55" s="2" t="s">
        <v>1518</v>
      </c>
      <c r="B55" s="1" t="s">
        <v>222</v>
      </c>
      <c r="C55" s="1" t="str">
        <f t="shared" si="0"/>
        <v>呉市広多賀谷1-5-1</v>
      </c>
      <c r="D55" s="1" t="s">
        <v>531</v>
      </c>
      <c r="E55" s="3">
        <v>47087</v>
      </c>
      <c r="F55" s="2"/>
    </row>
    <row r="56" spans="1:6" ht="24.95" customHeight="1" x14ac:dyDescent="0.4">
      <c r="A56" s="2" t="s">
        <v>1521</v>
      </c>
      <c r="B56" s="1" t="s">
        <v>222</v>
      </c>
      <c r="C56" s="1" t="str">
        <f t="shared" si="0"/>
        <v>呉市広多賀谷1-5-1</v>
      </c>
      <c r="D56" s="1" t="s">
        <v>324</v>
      </c>
      <c r="E56" s="3">
        <v>47087</v>
      </c>
      <c r="F56" s="2"/>
    </row>
    <row r="57" spans="1:6" ht="24.95" customHeight="1" x14ac:dyDescent="0.4">
      <c r="A57" s="2" t="s">
        <v>1522</v>
      </c>
      <c r="B57" s="1" t="s">
        <v>222</v>
      </c>
      <c r="C57" s="1" t="str">
        <f t="shared" si="0"/>
        <v>呉市広多賀谷1-5-1</v>
      </c>
      <c r="D57" s="1" t="s">
        <v>324</v>
      </c>
      <c r="E57" s="3">
        <v>47087</v>
      </c>
      <c r="F57" s="2"/>
    </row>
    <row r="58" spans="1:6" ht="24.95" customHeight="1" x14ac:dyDescent="0.4">
      <c r="A58" s="2" t="s">
        <v>1524</v>
      </c>
      <c r="B58" s="1" t="s">
        <v>222</v>
      </c>
      <c r="C58" s="1" t="str">
        <f t="shared" si="0"/>
        <v>呉市広多賀谷1-5-1</v>
      </c>
      <c r="D58" s="1" t="s">
        <v>324</v>
      </c>
      <c r="E58" s="3">
        <v>47087</v>
      </c>
      <c r="F58" s="2"/>
    </row>
    <row r="59" spans="1:6" ht="24.95" customHeight="1" x14ac:dyDescent="0.4">
      <c r="A59" s="2" t="s">
        <v>1525</v>
      </c>
      <c r="B59" s="1" t="s">
        <v>222</v>
      </c>
      <c r="C59" s="1" t="str">
        <f t="shared" si="0"/>
        <v>呉市広多賀谷1-5-1</v>
      </c>
      <c r="D59" s="1" t="s">
        <v>122</v>
      </c>
      <c r="E59" s="3">
        <v>47087</v>
      </c>
      <c r="F59" s="2"/>
    </row>
    <row r="60" spans="1:6" ht="24.95" customHeight="1" x14ac:dyDescent="0.4">
      <c r="A60" s="2" t="s">
        <v>1529</v>
      </c>
      <c r="B60" s="1" t="s">
        <v>222</v>
      </c>
      <c r="C60" s="1" t="str">
        <f t="shared" si="0"/>
        <v>呉市広多賀谷1-5-1</v>
      </c>
      <c r="D60" s="1" t="s">
        <v>286</v>
      </c>
      <c r="E60" s="3">
        <v>47087</v>
      </c>
      <c r="F60" s="2"/>
    </row>
    <row r="61" spans="1:6" ht="24.95" customHeight="1" x14ac:dyDescent="0.4">
      <c r="A61" s="2" t="s">
        <v>1530</v>
      </c>
      <c r="B61" s="1" t="s">
        <v>222</v>
      </c>
      <c r="C61" s="1" t="str">
        <f t="shared" si="0"/>
        <v>呉市広多賀谷1-5-1</v>
      </c>
      <c r="D61" s="1" t="s">
        <v>576</v>
      </c>
      <c r="E61" s="3">
        <v>47087</v>
      </c>
      <c r="F61" s="2"/>
    </row>
    <row r="62" spans="1:6" ht="24.95" customHeight="1" x14ac:dyDescent="0.4">
      <c r="A62" s="2" t="s">
        <v>1533</v>
      </c>
      <c r="B62" s="1" t="s">
        <v>222</v>
      </c>
      <c r="C62" s="1" t="str">
        <f t="shared" si="0"/>
        <v>呉市広多賀谷1-5-1</v>
      </c>
      <c r="D62" s="1" t="s">
        <v>58</v>
      </c>
      <c r="E62" s="3">
        <v>47087</v>
      </c>
      <c r="F62" s="2"/>
    </row>
    <row r="63" spans="1:6" ht="24.95" customHeight="1" x14ac:dyDescent="0.4">
      <c r="A63" s="2" t="s">
        <v>1537</v>
      </c>
      <c r="B63" s="1" t="s">
        <v>222</v>
      </c>
      <c r="C63" s="1" t="str">
        <f t="shared" si="0"/>
        <v>呉市広多賀谷1-5-1</v>
      </c>
      <c r="D63" s="1" t="s">
        <v>335</v>
      </c>
      <c r="E63" s="3">
        <v>47087</v>
      </c>
      <c r="F63" s="2"/>
    </row>
    <row r="64" spans="1:6" ht="24.95" customHeight="1" x14ac:dyDescent="0.4">
      <c r="A64" s="2" t="s">
        <v>173</v>
      </c>
      <c r="B64" s="1" t="s">
        <v>222</v>
      </c>
      <c r="C64" s="1" t="str">
        <f t="shared" si="0"/>
        <v>呉市広多賀谷1-5-1</v>
      </c>
      <c r="D64" s="1" t="s">
        <v>122</v>
      </c>
      <c r="E64" s="3">
        <v>47087</v>
      </c>
      <c r="F64" s="2"/>
    </row>
    <row r="65" spans="1:6" ht="24.95" customHeight="1" x14ac:dyDescent="0.4">
      <c r="A65" s="2" t="s">
        <v>114</v>
      </c>
      <c r="B65" s="1" t="s">
        <v>222</v>
      </c>
      <c r="C65" s="1" t="str">
        <f t="shared" si="0"/>
        <v>呉市広多賀谷1-5-1</v>
      </c>
      <c r="D65" s="1" t="s">
        <v>324</v>
      </c>
      <c r="E65" s="3">
        <v>47087</v>
      </c>
      <c r="F65" s="2"/>
    </row>
    <row r="66" spans="1:6" ht="24.95" customHeight="1" x14ac:dyDescent="0.4">
      <c r="A66" s="2" t="s">
        <v>1890</v>
      </c>
      <c r="B66" s="1" t="s">
        <v>222</v>
      </c>
      <c r="C66" s="1" t="str">
        <f t="shared" si="0"/>
        <v>呉市広多賀谷1-5-1</v>
      </c>
      <c r="D66" s="1" t="s">
        <v>700</v>
      </c>
      <c r="E66" s="3">
        <v>47087</v>
      </c>
      <c r="F66" s="2"/>
    </row>
    <row r="67" spans="1:6" ht="24.95" customHeight="1" x14ac:dyDescent="0.4">
      <c r="A67" s="2" t="s">
        <v>1445</v>
      </c>
      <c r="B67" s="1" t="s">
        <v>222</v>
      </c>
      <c r="C67" s="1" t="str">
        <f t="shared" si="0"/>
        <v>呉市広多賀谷1-5-1</v>
      </c>
      <c r="D67" s="1" t="s">
        <v>30</v>
      </c>
      <c r="E67" s="3">
        <v>47087</v>
      </c>
      <c r="F67" s="2"/>
    </row>
    <row r="68" spans="1:6" ht="24.95" customHeight="1" x14ac:dyDescent="0.4">
      <c r="A68" s="2" t="s">
        <v>45</v>
      </c>
      <c r="B68" s="1" t="s">
        <v>222</v>
      </c>
      <c r="C68" s="1" t="str">
        <f t="shared" si="0"/>
        <v>呉市広多賀谷1-5-1</v>
      </c>
      <c r="D68" s="1" t="s">
        <v>30</v>
      </c>
      <c r="E68" s="3">
        <v>47087</v>
      </c>
      <c r="F68" s="2"/>
    </row>
    <row r="69" spans="1:6" ht="24.95" customHeight="1" x14ac:dyDescent="0.4">
      <c r="A69" s="2" t="s">
        <v>230</v>
      </c>
      <c r="B69" s="1" t="s">
        <v>222</v>
      </c>
      <c r="C69" s="1" t="str">
        <f t="shared" si="0"/>
        <v>呉市広多賀谷1-5-1</v>
      </c>
      <c r="D69" s="1" t="s">
        <v>30</v>
      </c>
      <c r="E69" s="3">
        <v>47087</v>
      </c>
      <c r="F69" s="2"/>
    </row>
    <row r="70" spans="1:6" ht="24.95" customHeight="1" x14ac:dyDescent="0.4">
      <c r="A70" s="2" t="s">
        <v>1792</v>
      </c>
      <c r="B70" s="1" t="s">
        <v>222</v>
      </c>
      <c r="C70" s="1" t="str">
        <f t="shared" si="0"/>
        <v>呉市広多賀谷1-5-1</v>
      </c>
      <c r="D70" s="1" t="s">
        <v>30</v>
      </c>
      <c r="E70" s="3">
        <v>47087</v>
      </c>
      <c r="F70" s="2"/>
    </row>
    <row r="71" spans="1:6" ht="24.95" customHeight="1" x14ac:dyDescent="0.4">
      <c r="A71" s="2" t="s">
        <v>708</v>
      </c>
      <c r="B71" s="1" t="s">
        <v>222</v>
      </c>
      <c r="C71" s="1" t="str">
        <f t="shared" si="0"/>
        <v>呉市広多賀谷1-5-1</v>
      </c>
      <c r="D71" s="1" t="s">
        <v>30</v>
      </c>
      <c r="E71" s="3">
        <v>47087</v>
      </c>
      <c r="F71" s="2"/>
    </row>
    <row r="72" spans="1:6" ht="24.95" customHeight="1" x14ac:dyDescent="0.4">
      <c r="A72" s="2" t="s">
        <v>2005</v>
      </c>
      <c r="B72" s="1" t="s">
        <v>222</v>
      </c>
      <c r="C72" s="1" t="str">
        <f t="shared" si="0"/>
        <v>呉市広多賀谷1-5-1</v>
      </c>
      <c r="D72" s="1" t="s">
        <v>30</v>
      </c>
      <c r="E72" s="3">
        <v>47087</v>
      </c>
      <c r="F72" s="2"/>
    </row>
    <row r="73" spans="1:6" ht="24.95" customHeight="1" x14ac:dyDescent="0.4">
      <c r="A73" s="2" t="s">
        <v>1179</v>
      </c>
      <c r="B73" s="1" t="s">
        <v>222</v>
      </c>
      <c r="C73" s="1" t="str">
        <f t="shared" si="0"/>
        <v>呉市広多賀谷1-5-1</v>
      </c>
      <c r="D73" s="1" t="s">
        <v>324</v>
      </c>
      <c r="E73" s="3">
        <v>47087</v>
      </c>
      <c r="F73" s="2"/>
    </row>
    <row r="74" spans="1:6" ht="24.95" customHeight="1" x14ac:dyDescent="0.4">
      <c r="A74" s="2" t="s">
        <v>2100</v>
      </c>
      <c r="B74" s="1" t="s">
        <v>222</v>
      </c>
      <c r="C74" s="1" t="str">
        <f t="shared" si="0"/>
        <v>呉市広多賀谷1-5-1</v>
      </c>
      <c r="D74" s="1" t="s">
        <v>88</v>
      </c>
      <c r="E74" s="3">
        <v>47087</v>
      </c>
      <c r="F74" s="2"/>
    </row>
    <row r="75" spans="1:6" ht="24.95" customHeight="1" x14ac:dyDescent="0.4">
      <c r="A75" s="2" t="s">
        <v>2148</v>
      </c>
      <c r="B75" s="1" t="s">
        <v>222</v>
      </c>
      <c r="C75" s="1" t="str">
        <f t="shared" si="0"/>
        <v>呉市広多賀谷1-5-1</v>
      </c>
      <c r="D75" s="1" t="s">
        <v>104</v>
      </c>
      <c r="E75" s="3">
        <v>46721</v>
      </c>
      <c r="F75" s="2"/>
    </row>
    <row r="76" spans="1:6" ht="24.95" customHeight="1" x14ac:dyDescent="0.4">
      <c r="A76" s="2" t="s">
        <v>1519</v>
      </c>
      <c r="B76" s="1" t="s">
        <v>222</v>
      </c>
      <c r="C76" s="1" t="str">
        <f t="shared" si="0"/>
        <v>呉市広多賀谷1-5-1</v>
      </c>
      <c r="D76" s="1" t="s">
        <v>30</v>
      </c>
      <c r="E76" s="3">
        <v>45991</v>
      </c>
      <c r="F76" s="2"/>
    </row>
    <row r="77" spans="1:6" ht="24.95" customHeight="1" x14ac:dyDescent="0.4">
      <c r="A77" s="2" t="s">
        <v>2206</v>
      </c>
      <c r="B77" s="1" t="s">
        <v>222</v>
      </c>
      <c r="C77" s="1" t="str">
        <f t="shared" si="0"/>
        <v>呉市広多賀谷1-5-1</v>
      </c>
      <c r="D77" s="1" t="s">
        <v>30</v>
      </c>
      <c r="E77" s="3">
        <v>45991</v>
      </c>
      <c r="F77" s="2"/>
    </row>
    <row r="78" spans="1:6" ht="24.95" customHeight="1" x14ac:dyDescent="0.4">
      <c r="A78" s="2" t="s">
        <v>1967</v>
      </c>
      <c r="B78" s="1" t="s">
        <v>222</v>
      </c>
      <c r="C78" s="1" t="str">
        <f t="shared" si="0"/>
        <v>呉市広多賀谷1-5-1</v>
      </c>
      <c r="D78" s="1" t="s">
        <v>104</v>
      </c>
      <c r="E78" s="3">
        <v>45626</v>
      </c>
      <c r="F78" s="2"/>
    </row>
    <row r="79" spans="1:6" ht="24.95" customHeight="1" x14ac:dyDescent="0.4">
      <c r="A79" s="2" t="s">
        <v>1854</v>
      </c>
      <c r="B79" s="1" t="s">
        <v>222</v>
      </c>
      <c r="C79" s="1" t="str">
        <f t="shared" si="0"/>
        <v>呉市広多賀谷1-5-1</v>
      </c>
      <c r="D79" s="1" t="s">
        <v>531</v>
      </c>
      <c r="E79" s="3">
        <v>45626</v>
      </c>
      <c r="F79" s="2"/>
    </row>
    <row r="80" spans="1:6" ht="24.95" customHeight="1" x14ac:dyDescent="0.4">
      <c r="A80" s="2" t="s">
        <v>2364</v>
      </c>
      <c r="B80" s="1" t="s">
        <v>222</v>
      </c>
      <c r="C80" s="1" t="str">
        <f t="shared" si="0"/>
        <v>呉市広多賀谷1-5-1</v>
      </c>
      <c r="D80" s="1" t="s">
        <v>122</v>
      </c>
      <c r="E80" s="3">
        <v>45626</v>
      </c>
      <c r="F80" s="2"/>
    </row>
    <row r="81" spans="1:6" ht="24.95" customHeight="1" x14ac:dyDescent="0.4">
      <c r="A81" s="2" t="s">
        <v>2390</v>
      </c>
      <c r="B81" s="1" t="s">
        <v>222</v>
      </c>
      <c r="C81" s="1" t="str">
        <f t="shared" si="0"/>
        <v>呉市広多賀谷1-5-1</v>
      </c>
      <c r="D81" s="1" t="s">
        <v>30</v>
      </c>
      <c r="E81" s="3">
        <v>45991</v>
      </c>
      <c r="F81" s="2"/>
    </row>
    <row r="82" spans="1:6" ht="24.95" customHeight="1" x14ac:dyDescent="0.4">
      <c r="A82" s="2" t="s">
        <v>2392</v>
      </c>
      <c r="B82" s="1" t="s">
        <v>222</v>
      </c>
      <c r="C82" s="1" t="str">
        <f t="shared" si="0"/>
        <v>呉市広多賀谷1-5-1</v>
      </c>
      <c r="D82" s="1" t="s">
        <v>139</v>
      </c>
      <c r="E82" s="3">
        <v>45991</v>
      </c>
      <c r="F82" s="2"/>
    </row>
    <row r="83" spans="1:6" ht="24.95" customHeight="1" x14ac:dyDescent="0.4">
      <c r="A83" s="2" t="s">
        <v>2431</v>
      </c>
      <c r="B83" s="1" t="s">
        <v>222</v>
      </c>
      <c r="C83" s="1" t="str">
        <f t="shared" si="0"/>
        <v>呉市広多賀谷1-5-1</v>
      </c>
      <c r="D83" s="1" t="s">
        <v>88</v>
      </c>
      <c r="E83" s="3">
        <v>46356</v>
      </c>
      <c r="F83" s="2"/>
    </row>
    <row r="84" spans="1:6" ht="24.95" customHeight="1" x14ac:dyDescent="0.4">
      <c r="A84" s="2" t="s">
        <v>2433</v>
      </c>
      <c r="B84" s="1" t="s">
        <v>222</v>
      </c>
      <c r="C84" s="1" t="str">
        <f t="shared" si="0"/>
        <v>呉市広多賀谷1-5-1</v>
      </c>
      <c r="D84" s="1" t="s">
        <v>179</v>
      </c>
      <c r="E84" s="3">
        <v>46356</v>
      </c>
      <c r="F84" s="2"/>
    </row>
    <row r="85" spans="1:6" ht="24.95" customHeight="1" x14ac:dyDescent="0.4">
      <c r="A85" s="2" t="s">
        <v>2163</v>
      </c>
      <c r="B85" s="1" t="s">
        <v>222</v>
      </c>
      <c r="C85" s="1" t="str">
        <f t="shared" si="0"/>
        <v>呉市広多賀谷1-5-1</v>
      </c>
      <c r="D85" s="1" t="s">
        <v>104</v>
      </c>
      <c r="E85" s="3">
        <v>46721</v>
      </c>
      <c r="F85" s="2"/>
    </row>
    <row r="86" spans="1:6" ht="24.95" customHeight="1" x14ac:dyDescent="0.4">
      <c r="A86" s="2" t="s">
        <v>2517</v>
      </c>
      <c r="B86" s="1" t="s">
        <v>222</v>
      </c>
      <c r="C86" s="1" t="str">
        <f t="shared" si="0"/>
        <v>呉市広多賀谷1-5-1</v>
      </c>
      <c r="D86" s="1" t="s">
        <v>2518</v>
      </c>
      <c r="E86" s="3">
        <v>47087</v>
      </c>
      <c r="F86" s="2"/>
    </row>
    <row r="87" spans="1:6" ht="24.95" customHeight="1" x14ac:dyDescent="0.4">
      <c r="A87" s="2" t="s">
        <v>2611</v>
      </c>
      <c r="B87" s="1" t="s">
        <v>222</v>
      </c>
      <c r="C87" s="1" t="str">
        <f t="shared" si="0"/>
        <v>呉市広多賀谷1-5-1</v>
      </c>
      <c r="D87" s="1" t="s">
        <v>286</v>
      </c>
      <c r="E87" s="3">
        <v>47087</v>
      </c>
      <c r="F87" s="2"/>
    </row>
    <row r="88" spans="1:6" ht="24.95" customHeight="1" x14ac:dyDescent="0.4">
      <c r="A88" s="2" t="s">
        <v>295</v>
      </c>
      <c r="B88" s="1" t="s">
        <v>222</v>
      </c>
      <c r="C88" s="1" t="str">
        <f t="shared" si="0"/>
        <v>呉市広多賀谷1-5-1</v>
      </c>
      <c r="D88" s="1" t="s">
        <v>67</v>
      </c>
      <c r="E88" s="3">
        <v>47087</v>
      </c>
      <c r="F88" s="2"/>
    </row>
    <row r="89" spans="1:6" ht="24.95" customHeight="1" x14ac:dyDescent="0.4">
      <c r="A89" s="2" t="s">
        <v>2693</v>
      </c>
      <c r="B89" s="1" t="s">
        <v>222</v>
      </c>
      <c r="C89" s="1" t="str">
        <f t="shared" si="0"/>
        <v>呉市広多賀谷1-5-1</v>
      </c>
      <c r="D89" s="1" t="s">
        <v>30</v>
      </c>
      <c r="E89" s="3">
        <v>47087</v>
      </c>
      <c r="F89" s="2"/>
    </row>
    <row r="90" spans="1:6" ht="24.95" customHeight="1" x14ac:dyDescent="0.4">
      <c r="A90" s="2" t="s">
        <v>12</v>
      </c>
      <c r="B90" s="1" t="s">
        <v>2079</v>
      </c>
      <c r="C90" s="1" t="str">
        <f>"呉市広大新開3-3-50"</f>
        <v>呉市広大新開3-3-50</v>
      </c>
      <c r="D90" s="1" t="s">
        <v>30</v>
      </c>
      <c r="E90" s="3">
        <v>47087</v>
      </c>
      <c r="F90" s="2"/>
    </row>
    <row r="91" spans="1:6" ht="24.95" customHeight="1" x14ac:dyDescent="0.4">
      <c r="A91" s="2" t="s">
        <v>2021</v>
      </c>
      <c r="B91" s="1" t="s">
        <v>1629</v>
      </c>
      <c r="C91" s="1" t="str">
        <f>"呉市広中新開1-11-9"</f>
        <v>呉市広中新開1-11-9</v>
      </c>
      <c r="D91" s="1" t="s">
        <v>30</v>
      </c>
      <c r="E91" s="3">
        <v>47087</v>
      </c>
      <c r="F91" s="2"/>
    </row>
    <row r="92" spans="1:6" ht="24.95" customHeight="1" x14ac:dyDescent="0.4">
      <c r="A92" s="2" t="s">
        <v>469</v>
      </c>
      <c r="B92" s="1" t="s">
        <v>670</v>
      </c>
      <c r="C92" s="1" t="str">
        <f>"呉市広中町15-25"</f>
        <v>呉市広中町15-25</v>
      </c>
      <c r="D92" s="1" t="s">
        <v>139</v>
      </c>
      <c r="E92" s="3">
        <v>47087</v>
      </c>
      <c r="F92" s="2"/>
    </row>
    <row r="93" spans="1:6" ht="24.95" customHeight="1" x14ac:dyDescent="0.4">
      <c r="A93" s="2" t="s">
        <v>1693</v>
      </c>
      <c r="B93" s="1" t="s">
        <v>425</v>
      </c>
      <c r="C93" s="1" t="str">
        <f t="shared" ref="C93:C98" si="1">"呉市広白石4-7-22"</f>
        <v>呉市広白石4-7-22</v>
      </c>
      <c r="D93" s="1" t="s">
        <v>1159</v>
      </c>
      <c r="E93" s="3">
        <v>47087</v>
      </c>
      <c r="F93" s="2"/>
    </row>
    <row r="94" spans="1:6" ht="24.95" customHeight="1" x14ac:dyDescent="0.4">
      <c r="A94" s="2" t="s">
        <v>1499</v>
      </c>
      <c r="B94" s="1" t="s">
        <v>425</v>
      </c>
      <c r="C94" s="1" t="str">
        <f t="shared" si="1"/>
        <v>呉市広白石4-7-22</v>
      </c>
      <c r="D94" s="1" t="s">
        <v>1159</v>
      </c>
      <c r="E94" s="3">
        <v>47087</v>
      </c>
      <c r="F94" s="2"/>
    </row>
    <row r="95" spans="1:6" ht="24.95" customHeight="1" x14ac:dyDescent="0.4">
      <c r="A95" s="2" t="s">
        <v>1598</v>
      </c>
      <c r="B95" s="1" t="s">
        <v>425</v>
      </c>
      <c r="C95" s="1" t="str">
        <f t="shared" si="1"/>
        <v>呉市広白石4-7-22</v>
      </c>
      <c r="D95" s="1" t="s">
        <v>1159</v>
      </c>
      <c r="E95" s="3">
        <v>47087</v>
      </c>
      <c r="F95" s="2"/>
    </row>
    <row r="96" spans="1:6" ht="24.95" customHeight="1" x14ac:dyDescent="0.4">
      <c r="A96" s="2" t="s">
        <v>1973</v>
      </c>
      <c r="B96" s="1" t="s">
        <v>425</v>
      </c>
      <c r="C96" s="1" t="str">
        <f t="shared" si="1"/>
        <v>呉市広白石4-7-22</v>
      </c>
      <c r="D96" s="1" t="s">
        <v>1159</v>
      </c>
      <c r="E96" s="3">
        <v>47087</v>
      </c>
      <c r="F96" s="2"/>
    </row>
    <row r="97" spans="1:6" ht="24.95" customHeight="1" x14ac:dyDescent="0.4">
      <c r="A97" s="2" t="s">
        <v>1580</v>
      </c>
      <c r="B97" s="1" t="s">
        <v>425</v>
      </c>
      <c r="C97" s="1" t="str">
        <f t="shared" si="1"/>
        <v>呉市広白石4-7-22</v>
      </c>
      <c r="D97" s="1" t="s">
        <v>1159</v>
      </c>
      <c r="E97" s="3">
        <v>46356</v>
      </c>
      <c r="F97" s="2"/>
    </row>
    <row r="98" spans="1:6" ht="24.95" customHeight="1" x14ac:dyDescent="0.4">
      <c r="A98" s="2" t="s">
        <v>2770</v>
      </c>
      <c r="B98" s="1" t="s">
        <v>425</v>
      </c>
      <c r="C98" s="1" t="str">
        <f t="shared" si="1"/>
        <v>呉市広白石4-7-22</v>
      </c>
      <c r="D98" s="1" t="s">
        <v>30</v>
      </c>
      <c r="E98" s="3">
        <v>46721</v>
      </c>
      <c r="F98" s="2"/>
    </row>
    <row r="99" spans="1:6" ht="24.95" customHeight="1" x14ac:dyDescent="0.4">
      <c r="A99" s="2" t="s">
        <v>415</v>
      </c>
      <c r="B99" s="1" t="s">
        <v>1362</v>
      </c>
      <c r="C99" s="1" t="str">
        <f>"呉市広本町2-14-38-1"</f>
        <v>呉市広本町2-14-38-1</v>
      </c>
      <c r="D99" s="1" t="s">
        <v>279</v>
      </c>
      <c r="E99" s="3">
        <v>45626</v>
      </c>
      <c r="F99" s="2"/>
    </row>
    <row r="100" spans="1:6" ht="24.95" customHeight="1" x14ac:dyDescent="0.4">
      <c r="A100" s="2" t="s">
        <v>2748</v>
      </c>
      <c r="B100" s="1" t="s">
        <v>1355</v>
      </c>
      <c r="C100" s="1" t="str">
        <f>"呉市広本町3-16-9"</f>
        <v>呉市広本町3-16-9</v>
      </c>
      <c r="D100" s="1" t="s">
        <v>531</v>
      </c>
      <c r="E100" s="3">
        <v>45991</v>
      </c>
      <c r="F100" s="2"/>
    </row>
    <row r="101" spans="1:6" ht="24.95" customHeight="1" x14ac:dyDescent="0.4">
      <c r="A101" s="2" t="s">
        <v>1387</v>
      </c>
      <c r="B101" s="1" t="s">
        <v>1782</v>
      </c>
      <c r="C101" s="1" t="str">
        <f>"呉市広本町3-17-21"</f>
        <v>呉市広本町3-17-21</v>
      </c>
      <c r="D101" s="1" t="s">
        <v>30</v>
      </c>
      <c r="E101" s="3">
        <v>47087</v>
      </c>
      <c r="F101" s="2"/>
    </row>
    <row r="102" spans="1:6" ht="24.95" customHeight="1" x14ac:dyDescent="0.4">
      <c r="A102" s="2" t="s">
        <v>237</v>
      </c>
      <c r="B102" s="1" t="s">
        <v>408</v>
      </c>
      <c r="C102" s="1" t="str">
        <f>"呉市広本町3-18-12"</f>
        <v>呉市広本町3-18-12</v>
      </c>
      <c r="D102" s="1" t="s">
        <v>324</v>
      </c>
      <c r="E102" s="3">
        <v>47087</v>
      </c>
      <c r="F102" s="2"/>
    </row>
    <row r="103" spans="1:6" ht="24.95" customHeight="1" x14ac:dyDescent="0.4">
      <c r="A103" s="2" t="s">
        <v>440</v>
      </c>
      <c r="B103" s="1" t="s">
        <v>175</v>
      </c>
      <c r="C103" s="1" t="str">
        <f>"呉市広本町3-6-17"</f>
        <v>呉市広本町3-6-17</v>
      </c>
      <c r="D103" s="1" t="s">
        <v>414</v>
      </c>
      <c r="E103" s="3">
        <v>47087</v>
      </c>
      <c r="F103" s="2"/>
    </row>
    <row r="104" spans="1:6" ht="24.95" customHeight="1" x14ac:dyDescent="0.4">
      <c r="A104" s="2" t="s">
        <v>2073</v>
      </c>
      <c r="B104" s="1" t="s">
        <v>2074</v>
      </c>
      <c r="C104" s="1" t="str">
        <f>"呉市三条1-3-14"</f>
        <v>呉市三条1-3-14</v>
      </c>
      <c r="D104" s="1"/>
      <c r="E104" s="3">
        <v>47087</v>
      </c>
      <c r="F104" s="2"/>
    </row>
    <row r="105" spans="1:6" ht="24.95" customHeight="1" x14ac:dyDescent="0.4">
      <c r="A105" s="2" t="s">
        <v>1135</v>
      </c>
      <c r="B105" s="1" t="s">
        <v>228</v>
      </c>
      <c r="C105" s="1" t="str">
        <f t="shared" ref="C105:C117" si="2">"呉市三条2-1-13"</f>
        <v>呉市三条2-1-13</v>
      </c>
      <c r="D105" s="1" t="s">
        <v>88</v>
      </c>
      <c r="E105" s="3">
        <v>47087</v>
      </c>
      <c r="F105" s="2"/>
    </row>
    <row r="106" spans="1:6" ht="24.95" customHeight="1" x14ac:dyDescent="0.4">
      <c r="A106" s="2" t="s">
        <v>610</v>
      </c>
      <c r="B106" s="1" t="s">
        <v>228</v>
      </c>
      <c r="C106" s="1" t="str">
        <f t="shared" si="2"/>
        <v>呉市三条2-1-13</v>
      </c>
      <c r="D106" s="1" t="s">
        <v>324</v>
      </c>
      <c r="E106" s="3">
        <v>47087</v>
      </c>
      <c r="F106" s="2"/>
    </row>
    <row r="107" spans="1:6" ht="24.95" customHeight="1" x14ac:dyDescent="0.4">
      <c r="A107" s="2" t="s">
        <v>1810</v>
      </c>
      <c r="B107" s="1" t="s">
        <v>228</v>
      </c>
      <c r="C107" s="1" t="str">
        <f t="shared" si="2"/>
        <v>呉市三条2-1-13</v>
      </c>
      <c r="D107" s="1" t="s">
        <v>30</v>
      </c>
      <c r="E107" s="3">
        <v>47087</v>
      </c>
      <c r="F107" s="2"/>
    </row>
    <row r="108" spans="1:6" ht="24.95" customHeight="1" x14ac:dyDescent="0.4">
      <c r="A108" s="2" t="s">
        <v>1766</v>
      </c>
      <c r="B108" s="1" t="s">
        <v>228</v>
      </c>
      <c r="C108" s="1" t="str">
        <f t="shared" si="2"/>
        <v>呉市三条2-1-13</v>
      </c>
      <c r="D108" s="1" t="s">
        <v>139</v>
      </c>
      <c r="E108" s="3">
        <v>47087</v>
      </c>
      <c r="F108" s="2"/>
    </row>
    <row r="109" spans="1:6" ht="24.95" customHeight="1" x14ac:dyDescent="0.4">
      <c r="A109" s="2" t="s">
        <v>1725</v>
      </c>
      <c r="B109" s="1" t="s">
        <v>228</v>
      </c>
      <c r="C109" s="1" t="str">
        <f t="shared" si="2"/>
        <v>呉市三条2-1-13</v>
      </c>
      <c r="D109" s="1" t="s">
        <v>30</v>
      </c>
      <c r="E109" s="3">
        <v>47087</v>
      </c>
      <c r="F109" s="2"/>
    </row>
    <row r="110" spans="1:6" ht="24.95" customHeight="1" x14ac:dyDescent="0.4">
      <c r="A110" s="2" t="s">
        <v>248</v>
      </c>
      <c r="B110" s="1" t="s">
        <v>228</v>
      </c>
      <c r="C110" s="1" t="str">
        <f t="shared" si="2"/>
        <v>呉市三条2-1-13</v>
      </c>
      <c r="D110" s="1" t="s">
        <v>30</v>
      </c>
      <c r="E110" s="3">
        <v>47087</v>
      </c>
      <c r="F110" s="2"/>
    </row>
    <row r="111" spans="1:6" ht="24.95" customHeight="1" x14ac:dyDescent="0.4">
      <c r="A111" s="2" t="s">
        <v>7</v>
      </c>
      <c r="B111" s="1" t="s">
        <v>228</v>
      </c>
      <c r="C111" s="1" t="str">
        <f t="shared" si="2"/>
        <v>呉市三条2-1-13</v>
      </c>
      <c r="D111" s="1" t="s">
        <v>30</v>
      </c>
      <c r="E111" s="3">
        <v>47087</v>
      </c>
      <c r="F111" s="2"/>
    </row>
    <row r="112" spans="1:6" ht="24.95" customHeight="1" x14ac:dyDescent="0.4">
      <c r="A112" s="2" t="s">
        <v>2288</v>
      </c>
      <c r="B112" s="1" t="s">
        <v>228</v>
      </c>
      <c r="C112" s="1" t="str">
        <f t="shared" si="2"/>
        <v>呉市三条2-1-13</v>
      </c>
      <c r="D112" s="1" t="s">
        <v>139</v>
      </c>
      <c r="E112" s="3">
        <v>45991</v>
      </c>
      <c r="F112" s="2"/>
    </row>
    <row r="113" spans="1:6" ht="24.95" customHeight="1" x14ac:dyDescent="0.4">
      <c r="A113" s="2" t="s">
        <v>1615</v>
      </c>
      <c r="B113" s="1" t="s">
        <v>228</v>
      </c>
      <c r="C113" s="1" t="str">
        <f t="shared" si="2"/>
        <v>呉市三条2-1-13</v>
      </c>
      <c r="D113" s="1" t="s">
        <v>139</v>
      </c>
      <c r="E113" s="3">
        <v>46356</v>
      </c>
      <c r="F113" s="2"/>
    </row>
    <row r="114" spans="1:6" ht="24.95" customHeight="1" x14ac:dyDescent="0.4">
      <c r="A114" s="2" t="s">
        <v>2480</v>
      </c>
      <c r="B114" s="1" t="s">
        <v>228</v>
      </c>
      <c r="C114" s="1" t="str">
        <f t="shared" si="2"/>
        <v>呉市三条2-1-13</v>
      </c>
      <c r="D114" s="1" t="s">
        <v>139</v>
      </c>
      <c r="E114" s="3">
        <v>46721</v>
      </c>
      <c r="F114" s="2"/>
    </row>
    <row r="115" spans="1:6" ht="24.95" customHeight="1" x14ac:dyDescent="0.4">
      <c r="A115" s="2" t="s">
        <v>2513</v>
      </c>
      <c r="B115" s="1" t="s">
        <v>228</v>
      </c>
      <c r="C115" s="1" t="str">
        <f t="shared" si="2"/>
        <v>呉市三条2-1-13</v>
      </c>
      <c r="D115" s="1" t="s">
        <v>531</v>
      </c>
      <c r="E115" s="3">
        <v>47087</v>
      </c>
      <c r="F115" s="2"/>
    </row>
    <row r="116" spans="1:6" ht="24.95" customHeight="1" x14ac:dyDescent="0.4">
      <c r="A116" s="2" t="s">
        <v>2514</v>
      </c>
      <c r="B116" s="1" t="s">
        <v>228</v>
      </c>
      <c r="C116" s="1" t="str">
        <f t="shared" si="2"/>
        <v>呉市三条2-1-13</v>
      </c>
      <c r="D116" s="1" t="s">
        <v>531</v>
      </c>
      <c r="E116" s="3">
        <v>47087</v>
      </c>
      <c r="F116" s="2"/>
    </row>
    <row r="117" spans="1:6" ht="24.95" customHeight="1" x14ac:dyDescent="0.4">
      <c r="A117" s="2" t="s">
        <v>915</v>
      </c>
      <c r="B117" s="1" t="s">
        <v>228</v>
      </c>
      <c r="C117" s="1" t="str">
        <f t="shared" si="2"/>
        <v>呉市三条2-1-13</v>
      </c>
      <c r="D117" s="1" t="s">
        <v>30</v>
      </c>
      <c r="E117" s="3">
        <v>47087</v>
      </c>
      <c r="F117" s="2"/>
    </row>
    <row r="118" spans="1:6" ht="24.95" customHeight="1" x14ac:dyDescent="0.4">
      <c r="A118" s="2" t="s">
        <v>2122</v>
      </c>
      <c r="B118" s="1" t="s">
        <v>2123</v>
      </c>
      <c r="C118" s="1" t="str">
        <f>"呉市三条3-2-5"</f>
        <v>呉市三条3-2-5</v>
      </c>
      <c r="D118" s="1" t="s">
        <v>324</v>
      </c>
      <c r="E118" s="3">
        <v>47087</v>
      </c>
      <c r="F118" s="2"/>
    </row>
    <row r="119" spans="1:6" ht="24.95" customHeight="1" x14ac:dyDescent="0.4">
      <c r="A119" s="2" t="s">
        <v>1082</v>
      </c>
      <c r="B119" s="1" t="s">
        <v>1083</v>
      </c>
      <c r="C119" s="1" t="str">
        <f>"呉市三条3-5-22"</f>
        <v>呉市三条3-5-22</v>
      </c>
      <c r="D119" s="1" t="s">
        <v>279</v>
      </c>
      <c r="E119" s="3">
        <v>47087</v>
      </c>
      <c r="F119" s="2"/>
    </row>
    <row r="120" spans="1:6" ht="24.95" customHeight="1" x14ac:dyDescent="0.4">
      <c r="A120" s="2" t="s">
        <v>900</v>
      </c>
      <c r="B120" s="1" t="s">
        <v>75</v>
      </c>
      <c r="C120" s="1" t="str">
        <f>"呉市三条4-4-12"</f>
        <v>呉市三条4-4-12</v>
      </c>
      <c r="D120" s="1" t="s">
        <v>220</v>
      </c>
      <c r="E120" s="3">
        <v>47087</v>
      </c>
      <c r="F120" s="2"/>
    </row>
    <row r="121" spans="1:6" ht="24.95" customHeight="1" x14ac:dyDescent="0.4">
      <c r="A121" s="2" t="s">
        <v>1538</v>
      </c>
      <c r="B121" s="1" t="s">
        <v>1364</v>
      </c>
      <c r="C121" s="1" t="str">
        <f>"呉市焼山中央1-10-9"</f>
        <v>呉市焼山中央1-10-9</v>
      </c>
      <c r="D121" s="1" t="s">
        <v>139</v>
      </c>
      <c r="E121" s="3">
        <v>47087</v>
      </c>
      <c r="F121" s="2"/>
    </row>
    <row r="122" spans="1:6" ht="24.95" customHeight="1" x14ac:dyDescent="0.4">
      <c r="A122" s="2" t="s">
        <v>865</v>
      </c>
      <c r="B122" s="1" t="s">
        <v>336</v>
      </c>
      <c r="C122" s="1" t="str">
        <f>"呉市焼山中央2-1-1"</f>
        <v>呉市焼山中央2-1-1</v>
      </c>
      <c r="D122" s="1" t="s">
        <v>324</v>
      </c>
      <c r="E122" s="3">
        <v>47087</v>
      </c>
      <c r="F122" s="2"/>
    </row>
    <row r="123" spans="1:6" ht="24.95" customHeight="1" x14ac:dyDescent="0.4">
      <c r="A123" s="2" t="s">
        <v>1379</v>
      </c>
      <c r="B123" s="1" t="s">
        <v>1382</v>
      </c>
      <c r="C123" s="1" t="str">
        <f>"呉市焼山中央2-9-46"</f>
        <v>呉市焼山中央2-9-46</v>
      </c>
      <c r="D123" s="1" t="s">
        <v>30</v>
      </c>
      <c r="E123" s="3">
        <v>47087</v>
      </c>
      <c r="F123" s="2"/>
    </row>
    <row r="124" spans="1:6" ht="24.95" customHeight="1" x14ac:dyDescent="0.4">
      <c r="A124" s="2" t="s">
        <v>2340</v>
      </c>
      <c r="B124" s="1" t="s">
        <v>2341</v>
      </c>
      <c r="C124" s="1" t="str">
        <f>"呉市焼山南1-8-23"</f>
        <v>呉市焼山南1-8-23</v>
      </c>
      <c r="D124" s="1" t="s">
        <v>30</v>
      </c>
      <c r="E124" s="3">
        <v>47087</v>
      </c>
      <c r="F124" s="2"/>
    </row>
    <row r="125" spans="1:6" ht="24.95" customHeight="1" x14ac:dyDescent="0.4">
      <c r="A125" s="2" t="s">
        <v>49</v>
      </c>
      <c r="B125" s="1" t="s">
        <v>1022</v>
      </c>
      <c r="C125" s="1" t="str">
        <f>"呉市神山3-3-3"</f>
        <v>呉市神山3-3-3</v>
      </c>
      <c r="D125" s="1" t="s">
        <v>1014</v>
      </c>
      <c r="E125" s="3">
        <v>47087</v>
      </c>
      <c r="F125" s="2"/>
    </row>
    <row r="126" spans="1:6" ht="24.95" customHeight="1" x14ac:dyDescent="0.4">
      <c r="A126" s="2" t="s">
        <v>828</v>
      </c>
      <c r="B126" s="1" t="s">
        <v>1136</v>
      </c>
      <c r="C126" s="1" t="str">
        <f>"呉市仁方西神町6-13"</f>
        <v>呉市仁方西神町6-13</v>
      </c>
      <c r="D126" s="1" t="s">
        <v>30</v>
      </c>
      <c r="E126" s="3">
        <v>47087</v>
      </c>
      <c r="F126" s="2"/>
    </row>
    <row r="127" spans="1:6" ht="24.95" customHeight="1" x14ac:dyDescent="0.4">
      <c r="A127" s="2" t="s">
        <v>1101</v>
      </c>
      <c r="B127" s="1" t="s">
        <v>1102</v>
      </c>
      <c r="C127" s="1" t="str">
        <f>"呉市西中央1-3-10-4F"</f>
        <v>呉市西中央1-3-10-4F</v>
      </c>
      <c r="D127" s="1" t="s">
        <v>717</v>
      </c>
      <c r="E127" s="3">
        <v>47087</v>
      </c>
      <c r="F127" s="2"/>
    </row>
    <row r="128" spans="1:6" ht="24.95" customHeight="1" x14ac:dyDescent="0.4">
      <c r="A128" s="2" t="s">
        <v>590</v>
      </c>
      <c r="B128" s="1" t="s">
        <v>1332</v>
      </c>
      <c r="C128" s="1" t="str">
        <f>"呉市西中央1-3-9-4F"</f>
        <v>呉市西中央1-3-9-4F</v>
      </c>
      <c r="D128" s="1" t="s">
        <v>139</v>
      </c>
      <c r="E128" s="3">
        <v>47087</v>
      </c>
      <c r="F128" s="2"/>
    </row>
    <row r="129" spans="1:6" ht="24.95" customHeight="1" x14ac:dyDescent="0.4">
      <c r="A129" s="2" t="s">
        <v>2485</v>
      </c>
      <c r="B129" s="1" t="s">
        <v>1332</v>
      </c>
      <c r="C129" s="1" t="str">
        <f>"呉市西中央1-3-9-4F"</f>
        <v>呉市西中央1-3-9-4F</v>
      </c>
      <c r="D129" s="1" t="s">
        <v>139</v>
      </c>
      <c r="E129" s="3">
        <v>46721</v>
      </c>
      <c r="F129" s="2"/>
    </row>
    <row r="130" spans="1:6" ht="24.95" customHeight="1" x14ac:dyDescent="0.4">
      <c r="A130" s="2" t="s">
        <v>930</v>
      </c>
      <c r="B130" s="1" t="s">
        <v>878</v>
      </c>
      <c r="C130" s="1" t="str">
        <f t="shared" ref="C130:C177" si="3">"呉市西中央2-3-28"</f>
        <v>呉市西中央2-3-28</v>
      </c>
      <c r="D130" s="1" t="s">
        <v>955</v>
      </c>
      <c r="E130" s="3">
        <v>47087</v>
      </c>
      <c r="F130" s="2"/>
    </row>
    <row r="131" spans="1:6" ht="24.95" customHeight="1" x14ac:dyDescent="0.4">
      <c r="A131" s="2" t="s">
        <v>1336</v>
      </c>
      <c r="B131" s="1" t="s">
        <v>878</v>
      </c>
      <c r="C131" s="1" t="str">
        <f t="shared" si="3"/>
        <v>呉市西中央2-3-28</v>
      </c>
      <c r="D131" s="1" t="s">
        <v>324</v>
      </c>
      <c r="E131" s="3">
        <v>47087</v>
      </c>
      <c r="F131" s="2"/>
    </row>
    <row r="132" spans="1:6" ht="24.95" customHeight="1" x14ac:dyDescent="0.4">
      <c r="A132" s="2" t="s">
        <v>1338</v>
      </c>
      <c r="B132" s="1" t="s">
        <v>878</v>
      </c>
      <c r="C132" s="1" t="str">
        <f t="shared" si="3"/>
        <v>呉市西中央2-3-28</v>
      </c>
      <c r="D132" s="1" t="s">
        <v>1340</v>
      </c>
      <c r="E132" s="3">
        <v>47087</v>
      </c>
      <c r="F132" s="2"/>
    </row>
    <row r="133" spans="1:6" ht="24.95" customHeight="1" x14ac:dyDescent="0.4">
      <c r="A133" s="2" t="s">
        <v>1341</v>
      </c>
      <c r="B133" s="1" t="s">
        <v>878</v>
      </c>
      <c r="C133" s="1" t="str">
        <f t="shared" si="3"/>
        <v>呉市西中央2-3-28</v>
      </c>
      <c r="D133" s="1" t="s">
        <v>179</v>
      </c>
      <c r="E133" s="3">
        <v>47087</v>
      </c>
      <c r="F133" s="2"/>
    </row>
    <row r="134" spans="1:6" ht="24.95" customHeight="1" x14ac:dyDescent="0.4">
      <c r="A134" s="2" t="s">
        <v>563</v>
      </c>
      <c r="B134" s="1" t="s">
        <v>878</v>
      </c>
      <c r="C134" s="1" t="str">
        <f t="shared" si="3"/>
        <v>呉市西中央2-3-28</v>
      </c>
      <c r="D134" s="1" t="s">
        <v>122</v>
      </c>
      <c r="E134" s="3">
        <v>47087</v>
      </c>
      <c r="F134" s="2"/>
    </row>
    <row r="135" spans="1:6" ht="24.95" customHeight="1" x14ac:dyDescent="0.4">
      <c r="A135" s="2" t="s">
        <v>447</v>
      </c>
      <c r="B135" s="1" t="s">
        <v>878</v>
      </c>
      <c r="C135" s="1" t="str">
        <f t="shared" si="3"/>
        <v>呉市西中央2-3-28</v>
      </c>
      <c r="D135" s="1" t="s">
        <v>179</v>
      </c>
      <c r="E135" s="3">
        <v>47087</v>
      </c>
      <c r="F135" s="2"/>
    </row>
    <row r="136" spans="1:6" ht="24.95" customHeight="1" x14ac:dyDescent="0.4">
      <c r="A136" s="2" t="s">
        <v>1345</v>
      </c>
      <c r="B136" s="1" t="s">
        <v>878</v>
      </c>
      <c r="C136" s="1" t="str">
        <f t="shared" si="3"/>
        <v>呉市西中央2-3-28</v>
      </c>
      <c r="D136" s="1" t="s">
        <v>176</v>
      </c>
      <c r="E136" s="3">
        <v>47087</v>
      </c>
      <c r="F136" s="2"/>
    </row>
    <row r="137" spans="1:6" ht="24.95" customHeight="1" x14ac:dyDescent="0.4">
      <c r="A137" s="2" t="s">
        <v>1347</v>
      </c>
      <c r="B137" s="1" t="s">
        <v>878</v>
      </c>
      <c r="C137" s="1" t="str">
        <f t="shared" si="3"/>
        <v>呉市西中央2-3-28</v>
      </c>
      <c r="D137" s="1" t="s">
        <v>531</v>
      </c>
      <c r="E137" s="3">
        <v>47087</v>
      </c>
      <c r="F137" s="2"/>
    </row>
    <row r="138" spans="1:6" ht="24.95" customHeight="1" x14ac:dyDescent="0.4">
      <c r="A138" s="2" t="s">
        <v>1350</v>
      </c>
      <c r="B138" s="1" t="s">
        <v>878</v>
      </c>
      <c r="C138" s="1" t="str">
        <f t="shared" si="3"/>
        <v>呉市西中央2-3-28</v>
      </c>
      <c r="D138" s="1" t="s">
        <v>183</v>
      </c>
      <c r="E138" s="3">
        <v>47087</v>
      </c>
      <c r="F138" s="2"/>
    </row>
    <row r="139" spans="1:6" ht="24.95" customHeight="1" x14ac:dyDescent="0.4">
      <c r="A139" s="2" t="s">
        <v>866</v>
      </c>
      <c r="B139" s="1" t="s">
        <v>878</v>
      </c>
      <c r="C139" s="1" t="str">
        <f t="shared" si="3"/>
        <v>呉市西中央2-3-28</v>
      </c>
      <c r="D139" s="1" t="s">
        <v>531</v>
      </c>
      <c r="E139" s="3">
        <v>47087</v>
      </c>
      <c r="F139" s="2"/>
    </row>
    <row r="140" spans="1:6" ht="24.95" customHeight="1" x14ac:dyDescent="0.4">
      <c r="A140" s="2" t="s">
        <v>1352</v>
      </c>
      <c r="B140" s="1" t="s">
        <v>878</v>
      </c>
      <c r="C140" s="1" t="str">
        <f t="shared" si="3"/>
        <v>呉市西中央2-3-28</v>
      </c>
      <c r="D140" s="1" t="s">
        <v>122</v>
      </c>
      <c r="E140" s="3">
        <v>47087</v>
      </c>
      <c r="F140" s="2"/>
    </row>
    <row r="141" spans="1:6" ht="24.95" customHeight="1" x14ac:dyDescent="0.4">
      <c r="A141" s="2" t="s">
        <v>1322</v>
      </c>
      <c r="B141" s="1" t="s">
        <v>878</v>
      </c>
      <c r="C141" s="1" t="str">
        <f t="shared" si="3"/>
        <v>呉市西中央2-3-28</v>
      </c>
      <c r="D141" s="1" t="s">
        <v>324</v>
      </c>
      <c r="E141" s="3">
        <v>47087</v>
      </c>
      <c r="F141" s="2"/>
    </row>
    <row r="142" spans="1:6" ht="24.95" customHeight="1" x14ac:dyDescent="0.4">
      <c r="A142" s="2" t="s">
        <v>1354</v>
      </c>
      <c r="B142" s="1" t="s">
        <v>878</v>
      </c>
      <c r="C142" s="1" t="str">
        <f t="shared" si="3"/>
        <v>呉市西中央2-3-28</v>
      </c>
      <c r="D142" s="1" t="s">
        <v>240</v>
      </c>
      <c r="E142" s="3">
        <v>47087</v>
      </c>
      <c r="F142" s="2"/>
    </row>
    <row r="143" spans="1:6" ht="24.95" customHeight="1" x14ac:dyDescent="0.4">
      <c r="A143" s="2" t="s">
        <v>1357</v>
      </c>
      <c r="B143" s="1" t="s">
        <v>878</v>
      </c>
      <c r="C143" s="1" t="str">
        <f t="shared" si="3"/>
        <v>呉市西中央2-3-28</v>
      </c>
      <c r="D143" s="1" t="s">
        <v>179</v>
      </c>
      <c r="E143" s="3">
        <v>47087</v>
      </c>
      <c r="F143" s="2"/>
    </row>
    <row r="144" spans="1:6" ht="24.95" customHeight="1" x14ac:dyDescent="0.4">
      <c r="A144" s="2" t="s">
        <v>752</v>
      </c>
      <c r="B144" s="1" t="s">
        <v>878</v>
      </c>
      <c r="C144" s="1" t="str">
        <f t="shared" si="3"/>
        <v>呉市西中央2-3-28</v>
      </c>
      <c r="D144" s="1" t="s">
        <v>240</v>
      </c>
      <c r="E144" s="3">
        <v>47087</v>
      </c>
      <c r="F144" s="2"/>
    </row>
    <row r="145" spans="1:6" ht="24.95" customHeight="1" x14ac:dyDescent="0.4">
      <c r="A145" s="2" t="s">
        <v>804</v>
      </c>
      <c r="B145" s="1" t="s">
        <v>878</v>
      </c>
      <c r="C145" s="1" t="str">
        <f t="shared" si="3"/>
        <v>呉市西中央2-3-28</v>
      </c>
      <c r="D145" s="1" t="s">
        <v>531</v>
      </c>
      <c r="E145" s="3">
        <v>47087</v>
      </c>
      <c r="F145" s="2"/>
    </row>
    <row r="146" spans="1:6" ht="24.95" customHeight="1" x14ac:dyDescent="0.4">
      <c r="A146" s="2" t="s">
        <v>351</v>
      </c>
      <c r="B146" s="1" t="s">
        <v>878</v>
      </c>
      <c r="C146" s="1" t="str">
        <f t="shared" si="3"/>
        <v>呉市西中央2-3-28</v>
      </c>
      <c r="D146" s="1" t="s">
        <v>950</v>
      </c>
      <c r="E146" s="3">
        <v>47087</v>
      </c>
      <c r="F146" s="2"/>
    </row>
    <row r="147" spans="1:6" ht="24.95" customHeight="1" x14ac:dyDescent="0.4">
      <c r="A147" s="2" t="s">
        <v>1360</v>
      </c>
      <c r="B147" s="1" t="s">
        <v>878</v>
      </c>
      <c r="C147" s="1" t="str">
        <f t="shared" si="3"/>
        <v>呉市西中央2-3-28</v>
      </c>
      <c r="D147" s="1" t="s">
        <v>955</v>
      </c>
      <c r="E147" s="3">
        <v>47087</v>
      </c>
      <c r="F147" s="2"/>
    </row>
    <row r="148" spans="1:6" ht="24.95" customHeight="1" x14ac:dyDescent="0.4">
      <c r="A148" s="2" t="s">
        <v>281</v>
      </c>
      <c r="B148" s="1" t="s">
        <v>878</v>
      </c>
      <c r="C148" s="1" t="str">
        <f t="shared" si="3"/>
        <v>呉市西中央2-3-28</v>
      </c>
      <c r="D148" s="1" t="s">
        <v>58</v>
      </c>
      <c r="E148" s="3">
        <v>47087</v>
      </c>
      <c r="F148" s="2"/>
    </row>
    <row r="149" spans="1:6" ht="24.95" customHeight="1" x14ac:dyDescent="0.4">
      <c r="A149" s="2" t="s">
        <v>388</v>
      </c>
      <c r="B149" s="1" t="s">
        <v>878</v>
      </c>
      <c r="C149" s="1" t="str">
        <f t="shared" si="3"/>
        <v>呉市西中央2-3-28</v>
      </c>
      <c r="D149" s="1" t="s">
        <v>179</v>
      </c>
      <c r="E149" s="3">
        <v>47087</v>
      </c>
      <c r="F149" s="2"/>
    </row>
    <row r="150" spans="1:6" ht="24.95" customHeight="1" x14ac:dyDescent="0.4">
      <c r="A150" s="2" t="s">
        <v>1122</v>
      </c>
      <c r="B150" s="1" t="s">
        <v>878</v>
      </c>
      <c r="C150" s="1" t="str">
        <f t="shared" si="3"/>
        <v>呉市西中央2-3-28</v>
      </c>
      <c r="D150" s="1" t="s">
        <v>1027</v>
      </c>
      <c r="E150" s="3">
        <v>47087</v>
      </c>
      <c r="F150" s="2"/>
    </row>
    <row r="151" spans="1:6" ht="24.95" customHeight="1" x14ac:dyDescent="0.4">
      <c r="A151" s="2" t="s">
        <v>1492</v>
      </c>
      <c r="B151" s="1" t="s">
        <v>878</v>
      </c>
      <c r="C151" s="1" t="str">
        <f t="shared" si="3"/>
        <v>呉市西中央2-3-28</v>
      </c>
      <c r="D151" s="1" t="s">
        <v>240</v>
      </c>
      <c r="E151" s="3">
        <v>47087</v>
      </c>
      <c r="F151" s="2"/>
    </row>
    <row r="152" spans="1:6" ht="24.95" customHeight="1" x14ac:dyDescent="0.4">
      <c r="A152" s="2" t="s">
        <v>1991</v>
      </c>
      <c r="B152" s="1" t="s">
        <v>878</v>
      </c>
      <c r="C152" s="1" t="str">
        <f t="shared" si="3"/>
        <v>呉市西中央2-3-28</v>
      </c>
      <c r="D152" s="1" t="s">
        <v>531</v>
      </c>
      <c r="E152" s="3">
        <v>47087</v>
      </c>
      <c r="F152" s="2"/>
    </row>
    <row r="153" spans="1:6" ht="24.95" customHeight="1" x14ac:dyDescent="0.4">
      <c r="A153" s="2" t="s">
        <v>2195</v>
      </c>
      <c r="B153" s="1" t="s">
        <v>878</v>
      </c>
      <c r="C153" s="1" t="str">
        <f t="shared" si="3"/>
        <v>呉市西中央2-3-28</v>
      </c>
      <c r="D153" s="1" t="s">
        <v>950</v>
      </c>
      <c r="E153" s="3">
        <v>45991</v>
      </c>
      <c r="F153" s="2"/>
    </row>
    <row r="154" spans="1:6" ht="24.95" customHeight="1" x14ac:dyDescent="0.4">
      <c r="A154" s="2" t="s">
        <v>361</v>
      </c>
      <c r="B154" s="1" t="s">
        <v>878</v>
      </c>
      <c r="C154" s="1" t="str">
        <f t="shared" si="3"/>
        <v>呉市西中央2-3-28</v>
      </c>
      <c r="D154" s="1" t="s">
        <v>1340</v>
      </c>
      <c r="E154" s="3">
        <v>45991</v>
      </c>
      <c r="F154" s="2"/>
    </row>
    <row r="155" spans="1:6" ht="24.95" customHeight="1" x14ac:dyDescent="0.4">
      <c r="A155" s="2" t="s">
        <v>608</v>
      </c>
      <c r="B155" s="1" t="s">
        <v>878</v>
      </c>
      <c r="C155" s="1" t="str">
        <f t="shared" si="3"/>
        <v>呉市西中央2-3-28</v>
      </c>
      <c r="D155" s="1" t="s">
        <v>286</v>
      </c>
      <c r="E155" s="3">
        <v>46356</v>
      </c>
      <c r="F155" s="2"/>
    </row>
    <row r="156" spans="1:6" ht="24.95" customHeight="1" x14ac:dyDescent="0.4">
      <c r="A156" s="2" t="s">
        <v>2232</v>
      </c>
      <c r="B156" s="1" t="s">
        <v>878</v>
      </c>
      <c r="C156" s="1" t="str">
        <f t="shared" si="3"/>
        <v>呉市西中央2-3-28</v>
      </c>
      <c r="D156" s="1" t="s">
        <v>950</v>
      </c>
      <c r="E156" s="3">
        <v>46356</v>
      </c>
      <c r="F156" s="2"/>
    </row>
    <row r="157" spans="1:6" ht="24.95" customHeight="1" x14ac:dyDescent="0.4">
      <c r="A157" s="2" t="s">
        <v>559</v>
      </c>
      <c r="B157" s="1" t="s">
        <v>878</v>
      </c>
      <c r="C157" s="1" t="str">
        <f t="shared" si="3"/>
        <v>呉市西中央2-3-28</v>
      </c>
      <c r="D157" s="1" t="s">
        <v>176</v>
      </c>
      <c r="E157" s="3">
        <v>46721</v>
      </c>
      <c r="F157" s="2"/>
    </row>
    <row r="158" spans="1:6" ht="24.95" customHeight="1" x14ac:dyDescent="0.4">
      <c r="A158" s="2" t="s">
        <v>2284</v>
      </c>
      <c r="B158" s="1" t="s">
        <v>878</v>
      </c>
      <c r="C158" s="1" t="str">
        <f t="shared" si="3"/>
        <v>呉市西中央2-3-28</v>
      </c>
      <c r="D158" s="1" t="s">
        <v>576</v>
      </c>
      <c r="E158" s="3">
        <v>46721</v>
      </c>
      <c r="F158" s="2"/>
    </row>
    <row r="159" spans="1:6" ht="24.95" customHeight="1" x14ac:dyDescent="0.4">
      <c r="A159" s="2" t="s">
        <v>2089</v>
      </c>
      <c r="B159" s="1" t="s">
        <v>878</v>
      </c>
      <c r="C159" s="1" t="str">
        <f t="shared" si="3"/>
        <v>呉市西中央2-3-28</v>
      </c>
      <c r="D159" s="1" t="s">
        <v>531</v>
      </c>
      <c r="E159" s="3">
        <v>46721</v>
      </c>
      <c r="F159" s="2"/>
    </row>
    <row r="160" spans="1:6" ht="24.95" customHeight="1" x14ac:dyDescent="0.4">
      <c r="A160" s="2" t="s">
        <v>1755</v>
      </c>
      <c r="B160" s="1" t="s">
        <v>878</v>
      </c>
      <c r="C160" s="1" t="str">
        <f t="shared" si="3"/>
        <v>呉市西中央2-3-28</v>
      </c>
      <c r="D160" s="1" t="s">
        <v>67</v>
      </c>
      <c r="E160" s="3">
        <v>45626</v>
      </c>
      <c r="F160" s="2"/>
    </row>
    <row r="161" spans="1:6" ht="24.95" customHeight="1" x14ac:dyDescent="0.4">
      <c r="A161" s="2" t="s">
        <v>2368</v>
      </c>
      <c r="B161" s="1" t="s">
        <v>878</v>
      </c>
      <c r="C161" s="1" t="str">
        <f t="shared" si="3"/>
        <v>呉市西中央2-3-28</v>
      </c>
      <c r="D161" s="1" t="s">
        <v>531</v>
      </c>
      <c r="E161" s="3">
        <v>45626</v>
      </c>
      <c r="F161" s="2"/>
    </row>
    <row r="162" spans="1:6" ht="24.95" customHeight="1" x14ac:dyDescent="0.4">
      <c r="A162" s="2" t="s">
        <v>1777</v>
      </c>
      <c r="B162" s="1" t="s">
        <v>878</v>
      </c>
      <c r="C162" s="1" t="str">
        <f t="shared" si="3"/>
        <v>呉市西中央2-3-28</v>
      </c>
      <c r="D162" s="1" t="s">
        <v>324</v>
      </c>
      <c r="E162" s="3">
        <v>45626</v>
      </c>
      <c r="F162" s="2"/>
    </row>
    <row r="163" spans="1:6" ht="24.95" customHeight="1" x14ac:dyDescent="0.4">
      <c r="A163" s="2" t="s">
        <v>1661</v>
      </c>
      <c r="B163" s="1" t="s">
        <v>878</v>
      </c>
      <c r="C163" s="1" t="str">
        <f t="shared" si="3"/>
        <v>呉市西中央2-3-28</v>
      </c>
      <c r="D163" s="1" t="s">
        <v>531</v>
      </c>
      <c r="E163" s="3">
        <v>45626</v>
      </c>
      <c r="F163" s="2"/>
    </row>
    <row r="164" spans="1:6" ht="24.95" customHeight="1" x14ac:dyDescent="0.4">
      <c r="A164" s="2" t="s">
        <v>1140</v>
      </c>
      <c r="B164" s="1" t="s">
        <v>878</v>
      </c>
      <c r="C164" s="1" t="str">
        <f t="shared" si="3"/>
        <v>呉市西中央2-3-28</v>
      </c>
      <c r="D164" s="1" t="s">
        <v>955</v>
      </c>
      <c r="E164" s="3">
        <v>45991</v>
      </c>
      <c r="F164" s="2"/>
    </row>
    <row r="165" spans="1:6" ht="24.95" customHeight="1" x14ac:dyDescent="0.4">
      <c r="A165" s="2" t="s">
        <v>2188</v>
      </c>
      <c r="B165" s="1" t="s">
        <v>878</v>
      </c>
      <c r="C165" s="1" t="str">
        <f t="shared" si="3"/>
        <v>呉市西中央2-3-28</v>
      </c>
      <c r="D165" s="1" t="s">
        <v>1027</v>
      </c>
      <c r="E165" s="3">
        <v>45991</v>
      </c>
      <c r="F165" s="2"/>
    </row>
    <row r="166" spans="1:6" ht="24.95" customHeight="1" x14ac:dyDescent="0.4">
      <c r="A166" s="2" t="s">
        <v>2402</v>
      </c>
      <c r="B166" s="1" t="s">
        <v>878</v>
      </c>
      <c r="C166" s="1" t="str">
        <f t="shared" si="3"/>
        <v>呉市西中央2-3-28</v>
      </c>
      <c r="D166" s="1" t="s">
        <v>324</v>
      </c>
      <c r="E166" s="3">
        <v>45991</v>
      </c>
      <c r="F166" s="2"/>
    </row>
    <row r="167" spans="1:6" ht="24.95" customHeight="1" x14ac:dyDescent="0.4">
      <c r="A167" s="2" t="s">
        <v>2404</v>
      </c>
      <c r="B167" s="1" t="s">
        <v>878</v>
      </c>
      <c r="C167" s="1" t="str">
        <f t="shared" si="3"/>
        <v>呉市西中央2-3-28</v>
      </c>
      <c r="D167" s="1" t="s">
        <v>324</v>
      </c>
      <c r="E167" s="3">
        <v>45991</v>
      </c>
      <c r="F167" s="2"/>
    </row>
    <row r="168" spans="1:6" ht="24.95" customHeight="1" x14ac:dyDescent="0.4">
      <c r="A168" s="2" t="s">
        <v>403</v>
      </c>
      <c r="B168" s="1" t="s">
        <v>878</v>
      </c>
      <c r="C168" s="1" t="str">
        <f t="shared" si="3"/>
        <v>呉市西中央2-3-28</v>
      </c>
      <c r="D168" s="1" t="s">
        <v>576</v>
      </c>
      <c r="E168" s="3">
        <v>46356</v>
      </c>
      <c r="F168" s="2"/>
    </row>
    <row r="169" spans="1:6" ht="24.95" customHeight="1" x14ac:dyDescent="0.4">
      <c r="A169" s="2" t="s">
        <v>2445</v>
      </c>
      <c r="B169" s="1" t="s">
        <v>878</v>
      </c>
      <c r="C169" s="1" t="str">
        <f t="shared" si="3"/>
        <v>呉市西中央2-3-28</v>
      </c>
      <c r="D169" s="1" t="s">
        <v>133</v>
      </c>
      <c r="E169" s="3">
        <v>46356</v>
      </c>
      <c r="F169" s="2"/>
    </row>
    <row r="170" spans="1:6" ht="24.95" customHeight="1" x14ac:dyDescent="0.4">
      <c r="A170" s="2" t="s">
        <v>1968</v>
      </c>
      <c r="B170" s="1" t="s">
        <v>878</v>
      </c>
      <c r="C170" s="1" t="str">
        <f t="shared" si="3"/>
        <v>呉市西中央2-3-28</v>
      </c>
      <c r="D170" s="1" t="s">
        <v>179</v>
      </c>
      <c r="E170" s="3">
        <v>46356</v>
      </c>
      <c r="F170" s="2"/>
    </row>
    <row r="171" spans="1:6" ht="24.95" customHeight="1" x14ac:dyDescent="0.4">
      <c r="A171" s="2" t="s">
        <v>331</v>
      </c>
      <c r="B171" s="1" t="s">
        <v>878</v>
      </c>
      <c r="C171" s="1" t="str">
        <f t="shared" si="3"/>
        <v>呉市西中央2-3-28</v>
      </c>
      <c r="D171" s="1" t="s">
        <v>122</v>
      </c>
      <c r="E171" s="3">
        <v>46356</v>
      </c>
      <c r="F171" s="2"/>
    </row>
    <row r="172" spans="1:6" ht="24.95" customHeight="1" x14ac:dyDescent="0.4">
      <c r="A172" s="2" t="s">
        <v>2487</v>
      </c>
      <c r="B172" s="1" t="s">
        <v>878</v>
      </c>
      <c r="C172" s="1" t="str">
        <f t="shared" si="3"/>
        <v>呉市西中央2-3-28</v>
      </c>
      <c r="D172" s="1" t="s">
        <v>1340</v>
      </c>
      <c r="E172" s="3">
        <v>46721</v>
      </c>
      <c r="F172" s="2"/>
    </row>
    <row r="173" spans="1:6" ht="24.95" customHeight="1" x14ac:dyDescent="0.4">
      <c r="A173" s="2" t="s">
        <v>2228</v>
      </c>
      <c r="B173" s="1" t="s">
        <v>878</v>
      </c>
      <c r="C173" s="1" t="str">
        <f t="shared" si="3"/>
        <v>呉市西中央2-3-28</v>
      </c>
      <c r="D173" s="1" t="s">
        <v>950</v>
      </c>
      <c r="E173" s="3">
        <v>46721</v>
      </c>
      <c r="F173" s="2"/>
    </row>
    <row r="174" spans="1:6" ht="24.95" customHeight="1" x14ac:dyDescent="0.4">
      <c r="A174" s="2" t="s">
        <v>109</v>
      </c>
      <c r="B174" s="1" t="s">
        <v>878</v>
      </c>
      <c r="C174" s="1" t="str">
        <f t="shared" si="3"/>
        <v>呉市西中央2-3-28</v>
      </c>
      <c r="D174" s="1" t="s">
        <v>950</v>
      </c>
      <c r="E174" s="3">
        <v>47087</v>
      </c>
      <c r="F174" s="2"/>
    </row>
    <row r="175" spans="1:6" ht="24.95" customHeight="1" x14ac:dyDescent="0.4">
      <c r="A175" s="2" t="s">
        <v>2524</v>
      </c>
      <c r="B175" s="1" t="s">
        <v>878</v>
      </c>
      <c r="C175" s="1" t="str">
        <f t="shared" si="3"/>
        <v>呉市西中央2-3-28</v>
      </c>
      <c r="D175" s="1" t="s">
        <v>179</v>
      </c>
      <c r="E175" s="3">
        <v>47087</v>
      </c>
      <c r="F175" s="2"/>
    </row>
    <row r="176" spans="1:6" ht="24.95" customHeight="1" x14ac:dyDescent="0.4">
      <c r="A176" s="2" t="s">
        <v>814</v>
      </c>
      <c r="B176" s="1" t="s">
        <v>878</v>
      </c>
      <c r="C176" s="1" t="str">
        <f t="shared" si="3"/>
        <v>呉市西中央2-3-28</v>
      </c>
      <c r="D176" s="1" t="s">
        <v>179</v>
      </c>
      <c r="E176" s="3">
        <v>47087</v>
      </c>
      <c r="F176" s="2"/>
    </row>
    <row r="177" spans="1:6" ht="24.95" customHeight="1" x14ac:dyDescent="0.4">
      <c r="A177" s="2" t="s">
        <v>393</v>
      </c>
      <c r="B177" s="1" t="s">
        <v>878</v>
      </c>
      <c r="C177" s="1" t="str">
        <f t="shared" si="3"/>
        <v>呉市西中央2-3-28</v>
      </c>
      <c r="D177" s="1" t="s">
        <v>122</v>
      </c>
      <c r="E177" s="3">
        <v>47087</v>
      </c>
      <c r="F177" s="2"/>
    </row>
    <row r="178" spans="1:6" ht="24.95" customHeight="1" x14ac:dyDescent="0.4">
      <c r="A178" s="2" t="s">
        <v>2702</v>
      </c>
      <c r="B178" s="1" t="s">
        <v>2703</v>
      </c>
      <c r="C178" s="1" t="str">
        <f>"呉市西畑町17-4"</f>
        <v>呉市西畑町17-4</v>
      </c>
      <c r="D178" s="1" t="s">
        <v>30</v>
      </c>
      <c r="E178" s="3">
        <v>45991</v>
      </c>
      <c r="F178" s="2"/>
    </row>
    <row r="179" spans="1:6" ht="24.95" customHeight="1" x14ac:dyDescent="0.4">
      <c r="A179" s="2" t="s">
        <v>1121</v>
      </c>
      <c r="B179" s="1" t="s">
        <v>743</v>
      </c>
      <c r="C179" s="1" t="str">
        <f t="shared" ref="C179:C210" si="4">"呉市青山町3-1"</f>
        <v>呉市青山町3-1</v>
      </c>
      <c r="D179" s="1" t="s">
        <v>1310</v>
      </c>
      <c r="E179" s="3">
        <v>47087</v>
      </c>
      <c r="F179" s="2"/>
    </row>
    <row r="180" spans="1:6" ht="24.95" customHeight="1" x14ac:dyDescent="0.4">
      <c r="A180" s="2" t="s">
        <v>1358</v>
      </c>
      <c r="B180" s="1" t="s">
        <v>743</v>
      </c>
      <c r="C180" s="1" t="str">
        <f t="shared" si="4"/>
        <v>呉市青山町3-1</v>
      </c>
      <c r="D180" s="1" t="s">
        <v>1310</v>
      </c>
      <c r="E180" s="3">
        <v>47087</v>
      </c>
      <c r="F180" s="2"/>
    </row>
    <row r="181" spans="1:6" ht="24.95" customHeight="1" x14ac:dyDescent="0.4">
      <c r="A181" s="2" t="s">
        <v>1324</v>
      </c>
      <c r="B181" s="1" t="s">
        <v>743</v>
      </c>
      <c r="C181" s="1" t="str">
        <f t="shared" si="4"/>
        <v>呉市青山町3-1</v>
      </c>
      <c r="D181" s="1" t="s">
        <v>240</v>
      </c>
      <c r="E181" s="3">
        <v>47087</v>
      </c>
      <c r="F181" s="2"/>
    </row>
    <row r="182" spans="1:6" ht="24.95" customHeight="1" x14ac:dyDescent="0.4">
      <c r="A182" s="2" t="s">
        <v>1520</v>
      </c>
      <c r="B182" s="1" t="s">
        <v>743</v>
      </c>
      <c r="C182" s="1" t="str">
        <f t="shared" si="4"/>
        <v>呉市青山町3-1</v>
      </c>
      <c r="D182" s="1" t="s">
        <v>531</v>
      </c>
      <c r="E182" s="3">
        <v>47087</v>
      </c>
      <c r="F182" s="2"/>
    </row>
    <row r="183" spans="1:6" ht="24.95" customHeight="1" x14ac:dyDescent="0.4">
      <c r="A183" s="2" t="s">
        <v>1511</v>
      </c>
      <c r="B183" s="1" t="s">
        <v>743</v>
      </c>
      <c r="C183" s="1" t="str">
        <f t="shared" si="4"/>
        <v>呉市青山町3-1</v>
      </c>
      <c r="D183" s="1" t="s">
        <v>1534</v>
      </c>
      <c r="E183" s="3">
        <v>47087</v>
      </c>
      <c r="F183" s="2"/>
    </row>
    <row r="184" spans="1:6" ht="24.95" customHeight="1" x14ac:dyDescent="0.4">
      <c r="A184" s="2" t="s">
        <v>1380</v>
      </c>
      <c r="B184" s="1" t="s">
        <v>743</v>
      </c>
      <c r="C184" s="1" t="str">
        <f t="shared" si="4"/>
        <v>呉市青山町3-1</v>
      </c>
      <c r="D184" s="1" t="s">
        <v>531</v>
      </c>
      <c r="E184" s="3">
        <v>47087</v>
      </c>
      <c r="F184" s="2"/>
    </row>
    <row r="185" spans="1:6" ht="24.95" customHeight="1" x14ac:dyDescent="0.4">
      <c r="A185" s="2" t="s">
        <v>1700</v>
      </c>
      <c r="B185" s="1" t="s">
        <v>743</v>
      </c>
      <c r="C185" s="1" t="str">
        <f t="shared" si="4"/>
        <v>呉市青山町3-1</v>
      </c>
      <c r="D185" s="1" t="s">
        <v>1311</v>
      </c>
      <c r="E185" s="3">
        <v>47087</v>
      </c>
      <c r="F185" s="2"/>
    </row>
    <row r="186" spans="1:6" ht="24.95" customHeight="1" x14ac:dyDescent="0.4">
      <c r="A186" s="2" t="s">
        <v>1703</v>
      </c>
      <c r="B186" s="1" t="s">
        <v>743</v>
      </c>
      <c r="C186" s="1" t="str">
        <f t="shared" si="4"/>
        <v>呉市青山町3-1</v>
      </c>
      <c r="D186" s="1" t="s">
        <v>1702</v>
      </c>
      <c r="E186" s="3">
        <v>47087</v>
      </c>
      <c r="F186" s="2"/>
    </row>
    <row r="187" spans="1:6" ht="24.95" customHeight="1" x14ac:dyDescent="0.4">
      <c r="A187" s="2" t="s">
        <v>1577</v>
      </c>
      <c r="B187" s="1" t="s">
        <v>743</v>
      </c>
      <c r="C187" s="1" t="str">
        <f t="shared" si="4"/>
        <v>呉市青山町3-1</v>
      </c>
      <c r="D187" s="1" t="s">
        <v>1702</v>
      </c>
      <c r="E187" s="3">
        <v>47087</v>
      </c>
      <c r="F187" s="2"/>
    </row>
    <row r="188" spans="1:6" ht="24.95" customHeight="1" x14ac:dyDescent="0.4">
      <c r="A188" s="2" t="s">
        <v>1278</v>
      </c>
      <c r="B188" s="1" t="s">
        <v>743</v>
      </c>
      <c r="C188" s="1" t="str">
        <f t="shared" si="4"/>
        <v>呉市青山町3-1</v>
      </c>
      <c r="D188" s="1" t="s">
        <v>104</v>
      </c>
      <c r="E188" s="3">
        <v>47087</v>
      </c>
      <c r="F188" s="2"/>
    </row>
    <row r="189" spans="1:6" ht="24.95" customHeight="1" x14ac:dyDescent="0.4">
      <c r="A189" s="2" t="s">
        <v>1456</v>
      </c>
      <c r="B189" s="1" t="s">
        <v>743</v>
      </c>
      <c r="C189" s="1" t="str">
        <f t="shared" si="4"/>
        <v>呉市青山町3-1</v>
      </c>
      <c r="D189" s="1" t="s">
        <v>576</v>
      </c>
      <c r="E189" s="3">
        <v>47087</v>
      </c>
      <c r="F189" s="2"/>
    </row>
    <row r="190" spans="1:6" ht="24.95" customHeight="1" x14ac:dyDescent="0.4">
      <c r="A190" s="2" t="s">
        <v>714</v>
      </c>
      <c r="B190" s="1" t="s">
        <v>743</v>
      </c>
      <c r="C190" s="1" t="str">
        <f t="shared" si="4"/>
        <v>呉市青山町3-1</v>
      </c>
      <c r="D190" s="1" t="s">
        <v>144</v>
      </c>
      <c r="E190" s="3">
        <v>47087</v>
      </c>
      <c r="F190" s="2"/>
    </row>
    <row r="191" spans="1:6" ht="24.95" customHeight="1" x14ac:dyDescent="0.4">
      <c r="A191" s="2" t="s">
        <v>1581</v>
      </c>
      <c r="B191" s="1" t="s">
        <v>743</v>
      </c>
      <c r="C191" s="1" t="str">
        <f t="shared" si="4"/>
        <v>呉市青山町3-1</v>
      </c>
      <c r="D191" s="1" t="s">
        <v>344</v>
      </c>
      <c r="E191" s="3">
        <v>47087</v>
      </c>
      <c r="F191" s="2"/>
    </row>
    <row r="192" spans="1:6" ht="24.95" customHeight="1" x14ac:dyDescent="0.4">
      <c r="A192" s="2" t="s">
        <v>1432</v>
      </c>
      <c r="B192" s="1" t="s">
        <v>743</v>
      </c>
      <c r="C192" s="1" t="str">
        <f t="shared" si="4"/>
        <v>呉市青山町3-1</v>
      </c>
      <c r="D192" s="1" t="s">
        <v>183</v>
      </c>
      <c r="E192" s="3">
        <v>47087</v>
      </c>
      <c r="F192" s="2"/>
    </row>
    <row r="193" spans="1:6" ht="24.95" customHeight="1" x14ac:dyDescent="0.4">
      <c r="A193" s="2" t="s">
        <v>1723</v>
      </c>
      <c r="B193" s="1" t="s">
        <v>743</v>
      </c>
      <c r="C193" s="1" t="str">
        <f t="shared" si="4"/>
        <v>呉市青山町3-1</v>
      </c>
      <c r="D193" s="1" t="s">
        <v>176</v>
      </c>
      <c r="E193" s="3">
        <v>47087</v>
      </c>
      <c r="F193" s="2"/>
    </row>
    <row r="194" spans="1:6" ht="24.95" customHeight="1" x14ac:dyDescent="0.4">
      <c r="A194" s="2" t="s">
        <v>1724</v>
      </c>
      <c r="B194" s="1" t="s">
        <v>743</v>
      </c>
      <c r="C194" s="1" t="str">
        <f t="shared" si="4"/>
        <v>呉市青山町3-1</v>
      </c>
      <c r="D194" s="1" t="s">
        <v>122</v>
      </c>
      <c r="E194" s="3">
        <v>47087</v>
      </c>
      <c r="F194" s="2"/>
    </row>
    <row r="195" spans="1:6" ht="24.95" customHeight="1" x14ac:dyDescent="0.4">
      <c r="A195" s="2" t="s">
        <v>1727</v>
      </c>
      <c r="B195" s="1" t="s">
        <v>743</v>
      </c>
      <c r="C195" s="1" t="str">
        <f t="shared" si="4"/>
        <v>呉市青山町3-1</v>
      </c>
      <c r="D195" s="1" t="s">
        <v>122</v>
      </c>
      <c r="E195" s="3">
        <v>47087</v>
      </c>
      <c r="F195" s="2"/>
    </row>
    <row r="196" spans="1:6" ht="24.95" customHeight="1" x14ac:dyDescent="0.4">
      <c r="A196" s="2" t="s">
        <v>1730</v>
      </c>
      <c r="B196" s="1" t="s">
        <v>743</v>
      </c>
      <c r="C196" s="1" t="str">
        <f t="shared" si="4"/>
        <v>呉市青山町3-1</v>
      </c>
      <c r="D196" s="1" t="s">
        <v>955</v>
      </c>
      <c r="E196" s="3">
        <v>47087</v>
      </c>
      <c r="F196" s="2"/>
    </row>
    <row r="197" spans="1:6" ht="24.95" customHeight="1" x14ac:dyDescent="0.4">
      <c r="A197" s="2" t="s">
        <v>501</v>
      </c>
      <c r="B197" s="1" t="s">
        <v>743</v>
      </c>
      <c r="C197" s="1" t="str">
        <f t="shared" si="4"/>
        <v>呉市青山町3-1</v>
      </c>
      <c r="D197" s="1" t="s">
        <v>531</v>
      </c>
      <c r="E197" s="3">
        <v>47087</v>
      </c>
      <c r="F197" s="2"/>
    </row>
    <row r="198" spans="1:6" ht="24.95" customHeight="1" x14ac:dyDescent="0.4">
      <c r="A198" s="2" t="s">
        <v>1735</v>
      </c>
      <c r="B198" s="1" t="s">
        <v>743</v>
      </c>
      <c r="C198" s="1" t="str">
        <f t="shared" si="4"/>
        <v>呉市青山町3-1</v>
      </c>
      <c r="D198" s="1" t="s">
        <v>1639</v>
      </c>
      <c r="E198" s="3">
        <v>47087</v>
      </c>
      <c r="F198" s="2"/>
    </row>
    <row r="199" spans="1:6" ht="24.95" customHeight="1" x14ac:dyDescent="0.4">
      <c r="A199" s="2" t="s">
        <v>1737</v>
      </c>
      <c r="B199" s="1" t="s">
        <v>743</v>
      </c>
      <c r="C199" s="1" t="str">
        <f t="shared" si="4"/>
        <v>呉市青山町3-1</v>
      </c>
      <c r="D199" s="1" t="s">
        <v>179</v>
      </c>
      <c r="E199" s="3">
        <v>47087</v>
      </c>
      <c r="F199" s="2"/>
    </row>
    <row r="200" spans="1:6" ht="24.95" customHeight="1" x14ac:dyDescent="0.4">
      <c r="A200" s="2" t="s">
        <v>1740</v>
      </c>
      <c r="B200" s="1" t="s">
        <v>743</v>
      </c>
      <c r="C200" s="1" t="str">
        <f t="shared" si="4"/>
        <v>呉市青山町3-1</v>
      </c>
      <c r="D200" s="1" t="s">
        <v>179</v>
      </c>
      <c r="E200" s="3">
        <v>47087</v>
      </c>
      <c r="F200" s="2"/>
    </row>
    <row r="201" spans="1:6" ht="24.95" customHeight="1" x14ac:dyDescent="0.4">
      <c r="A201" s="2" t="s">
        <v>1741</v>
      </c>
      <c r="B201" s="1" t="s">
        <v>743</v>
      </c>
      <c r="C201" s="1" t="str">
        <f t="shared" si="4"/>
        <v>呉市青山町3-1</v>
      </c>
      <c r="D201" s="1" t="s">
        <v>796</v>
      </c>
      <c r="E201" s="3">
        <v>47087</v>
      </c>
      <c r="F201" s="2"/>
    </row>
    <row r="202" spans="1:6" ht="24.95" customHeight="1" x14ac:dyDescent="0.4">
      <c r="A202" s="2" t="s">
        <v>1743</v>
      </c>
      <c r="B202" s="1" t="s">
        <v>743</v>
      </c>
      <c r="C202" s="1" t="str">
        <f t="shared" si="4"/>
        <v>呉市青山町3-1</v>
      </c>
      <c r="D202" s="1" t="s">
        <v>796</v>
      </c>
      <c r="E202" s="3">
        <v>47087</v>
      </c>
      <c r="F202" s="2"/>
    </row>
    <row r="203" spans="1:6" ht="24.95" customHeight="1" x14ac:dyDescent="0.4">
      <c r="A203" s="2" t="s">
        <v>801</v>
      </c>
      <c r="B203" s="1" t="s">
        <v>743</v>
      </c>
      <c r="C203" s="1" t="str">
        <f t="shared" si="4"/>
        <v>呉市青山町3-1</v>
      </c>
      <c r="D203" s="1" t="s">
        <v>700</v>
      </c>
      <c r="E203" s="3">
        <v>47087</v>
      </c>
      <c r="F203" s="2"/>
    </row>
    <row r="204" spans="1:6" ht="24.95" customHeight="1" x14ac:dyDescent="0.4">
      <c r="A204" s="2" t="s">
        <v>1408</v>
      </c>
      <c r="B204" s="1" t="s">
        <v>743</v>
      </c>
      <c r="C204" s="1" t="str">
        <f t="shared" si="4"/>
        <v>呉市青山町3-1</v>
      </c>
      <c r="D204" s="1" t="s">
        <v>531</v>
      </c>
      <c r="E204" s="3">
        <v>47087</v>
      </c>
      <c r="F204" s="2"/>
    </row>
    <row r="205" spans="1:6" ht="24.95" customHeight="1" x14ac:dyDescent="0.4">
      <c r="A205" s="2" t="s">
        <v>1859</v>
      </c>
      <c r="B205" s="1" t="s">
        <v>743</v>
      </c>
      <c r="C205" s="1" t="str">
        <f t="shared" si="4"/>
        <v>呉市青山町3-1</v>
      </c>
      <c r="D205" s="1" t="s">
        <v>1705</v>
      </c>
      <c r="E205" s="3">
        <v>47087</v>
      </c>
      <c r="F205" s="2"/>
    </row>
    <row r="206" spans="1:6" ht="24.95" customHeight="1" x14ac:dyDescent="0.4">
      <c r="A206" s="2" t="s">
        <v>450</v>
      </c>
      <c r="B206" s="1" t="s">
        <v>743</v>
      </c>
      <c r="C206" s="1" t="str">
        <f t="shared" si="4"/>
        <v>呉市青山町3-1</v>
      </c>
      <c r="D206" s="1" t="s">
        <v>531</v>
      </c>
      <c r="E206" s="3">
        <v>47087</v>
      </c>
      <c r="F206" s="2"/>
    </row>
    <row r="207" spans="1:6" ht="24.95" customHeight="1" x14ac:dyDescent="0.4">
      <c r="A207" s="2" t="s">
        <v>1888</v>
      </c>
      <c r="B207" s="1" t="s">
        <v>743</v>
      </c>
      <c r="C207" s="1" t="str">
        <f t="shared" si="4"/>
        <v>呉市青山町3-1</v>
      </c>
      <c r="D207" s="1" t="s">
        <v>700</v>
      </c>
      <c r="E207" s="3">
        <v>47087</v>
      </c>
      <c r="F207" s="2"/>
    </row>
    <row r="208" spans="1:6" ht="24.95" customHeight="1" x14ac:dyDescent="0.4">
      <c r="A208" s="2" t="s">
        <v>829</v>
      </c>
      <c r="B208" s="1" t="s">
        <v>743</v>
      </c>
      <c r="C208" s="1" t="str">
        <f t="shared" si="4"/>
        <v>呉市青山町3-1</v>
      </c>
      <c r="D208" s="1" t="s">
        <v>1310</v>
      </c>
      <c r="E208" s="3">
        <v>47087</v>
      </c>
      <c r="F208" s="2"/>
    </row>
    <row r="209" spans="1:6" ht="24.95" customHeight="1" x14ac:dyDescent="0.4">
      <c r="A209" s="2" t="s">
        <v>1966</v>
      </c>
      <c r="B209" s="1" t="s">
        <v>743</v>
      </c>
      <c r="C209" s="1" t="str">
        <f t="shared" si="4"/>
        <v>呉市青山町3-1</v>
      </c>
      <c r="D209" s="1" t="s">
        <v>324</v>
      </c>
      <c r="E209" s="3">
        <v>47087</v>
      </c>
      <c r="F209" s="2"/>
    </row>
    <row r="210" spans="1:6" ht="24.95" customHeight="1" x14ac:dyDescent="0.4">
      <c r="A210" s="2" t="s">
        <v>1842</v>
      </c>
      <c r="B210" s="1" t="s">
        <v>743</v>
      </c>
      <c r="C210" s="1" t="str">
        <f t="shared" si="4"/>
        <v>呉市青山町3-1</v>
      </c>
      <c r="D210" s="1" t="s">
        <v>103</v>
      </c>
      <c r="E210" s="3">
        <v>47087</v>
      </c>
      <c r="F210" s="2"/>
    </row>
    <row r="211" spans="1:6" ht="24.95" customHeight="1" x14ac:dyDescent="0.4">
      <c r="A211" s="2" t="s">
        <v>1444</v>
      </c>
      <c r="B211" s="1" t="s">
        <v>743</v>
      </c>
      <c r="C211" s="1" t="str">
        <f t="shared" ref="C211:C233" si="5">"呉市青山町3-1"</f>
        <v>呉市青山町3-1</v>
      </c>
      <c r="D211" s="1" t="s">
        <v>122</v>
      </c>
      <c r="E211" s="3">
        <v>47087</v>
      </c>
      <c r="F211" s="2"/>
    </row>
    <row r="212" spans="1:6" ht="24.95" customHeight="1" x14ac:dyDescent="0.4">
      <c r="A212" s="2" t="s">
        <v>2128</v>
      </c>
      <c r="B212" s="1" t="s">
        <v>743</v>
      </c>
      <c r="C212" s="1" t="str">
        <f t="shared" si="5"/>
        <v>呉市青山町3-1</v>
      </c>
      <c r="D212" s="1" t="s">
        <v>104</v>
      </c>
      <c r="E212" s="3">
        <v>47087</v>
      </c>
      <c r="F212" s="2"/>
    </row>
    <row r="213" spans="1:6" ht="24.95" customHeight="1" x14ac:dyDescent="0.4">
      <c r="A213" s="2" t="s">
        <v>1773</v>
      </c>
      <c r="B213" s="1" t="s">
        <v>743</v>
      </c>
      <c r="C213" s="1" t="str">
        <f t="shared" si="5"/>
        <v>呉市青山町3-1</v>
      </c>
      <c r="D213" s="1" t="s">
        <v>1210</v>
      </c>
      <c r="E213" s="3">
        <v>47087</v>
      </c>
      <c r="F213" s="2"/>
    </row>
    <row r="214" spans="1:6" ht="24.95" customHeight="1" x14ac:dyDescent="0.4">
      <c r="A214" s="2" t="s">
        <v>1751</v>
      </c>
      <c r="B214" s="1" t="s">
        <v>743</v>
      </c>
      <c r="C214" s="1" t="str">
        <f t="shared" si="5"/>
        <v>呉市青山町3-1</v>
      </c>
      <c r="D214" s="1" t="s">
        <v>955</v>
      </c>
      <c r="E214" s="3">
        <v>45991</v>
      </c>
      <c r="F214" s="2"/>
    </row>
    <row r="215" spans="1:6" ht="24.95" customHeight="1" x14ac:dyDescent="0.4">
      <c r="A215" s="2" t="s">
        <v>2252</v>
      </c>
      <c r="B215" s="1" t="s">
        <v>743</v>
      </c>
      <c r="C215" s="1" t="str">
        <f t="shared" si="5"/>
        <v>呉市青山町3-1</v>
      </c>
      <c r="D215" s="1" t="s">
        <v>240</v>
      </c>
      <c r="E215" s="3">
        <v>46356</v>
      </c>
      <c r="F215" s="2"/>
    </row>
    <row r="216" spans="1:6" ht="24.95" customHeight="1" x14ac:dyDescent="0.4">
      <c r="A216" s="2" t="s">
        <v>2302</v>
      </c>
      <c r="B216" s="1" t="s">
        <v>743</v>
      </c>
      <c r="C216" s="1" t="str">
        <f t="shared" si="5"/>
        <v>呉市青山町3-1</v>
      </c>
      <c r="D216" s="1" t="s">
        <v>324</v>
      </c>
      <c r="E216" s="3">
        <v>46721</v>
      </c>
      <c r="F216" s="2"/>
    </row>
    <row r="217" spans="1:6" ht="24.95" customHeight="1" x14ac:dyDescent="0.4">
      <c r="A217" s="2" t="s">
        <v>817</v>
      </c>
      <c r="B217" s="1" t="s">
        <v>743</v>
      </c>
      <c r="C217" s="1" t="str">
        <f t="shared" si="5"/>
        <v>呉市青山町3-1</v>
      </c>
      <c r="D217" s="1" t="s">
        <v>950</v>
      </c>
      <c r="E217" s="3">
        <v>47087</v>
      </c>
      <c r="F217" s="2"/>
    </row>
    <row r="218" spans="1:6" ht="24.95" customHeight="1" x14ac:dyDescent="0.4">
      <c r="A218" s="2" t="s">
        <v>1944</v>
      </c>
      <c r="B218" s="1" t="s">
        <v>743</v>
      </c>
      <c r="C218" s="1" t="str">
        <f t="shared" si="5"/>
        <v>呉市青山町3-1</v>
      </c>
      <c r="D218" s="1" t="s">
        <v>240</v>
      </c>
      <c r="E218" s="3">
        <v>47087</v>
      </c>
      <c r="F218" s="2"/>
    </row>
    <row r="219" spans="1:6" ht="24.95" customHeight="1" x14ac:dyDescent="0.4">
      <c r="A219" s="2" t="s">
        <v>995</v>
      </c>
      <c r="B219" s="1" t="s">
        <v>743</v>
      </c>
      <c r="C219" s="1" t="str">
        <f t="shared" si="5"/>
        <v>呉市青山町3-1</v>
      </c>
      <c r="D219" s="1" t="s">
        <v>700</v>
      </c>
      <c r="E219" s="3">
        <v>45626</v>
      </c>
      <c r="F219" s="2"/>
    </row>
    <row r="220" spans="1:6" ht="24.95" customHeight="1" x14ac:dyDescent="0.4">
      <c r="A220" s="2" t="s">
        <v>2366</v>
      </c>
      <c r="B220" s="1" t="s">
        <v>743</v>
      </c>
      <c r="C220" s="1" t="str">
        <f t="shared" si="5"/>
        <v>呉市青山町3-1</v>
      </c>
      <c r="D220" s="1" t="s">
        <v>700</v>
      </c>
      <c r="E220" s="3">
        <v>45626</v>
      </c>
      <c r="F220" s="2"/>
    </row>
    <row r="221" spans="1:6" ht="24.95" customHeight="1" x14ac:dyDescent="0.4">
      <c r="A221" s="2" t="s">
        <v>1190</v>
      </c>
      <c r="B221" s="1" t="s">
        <v>743</v>
      </c>
      <c r="C221" s="1" t="str">
        <f t="shared" si="5"/>
        <v>呉市青山町3-1</v>
      </c>
      <c r="D221" s="1" t="s">
        <v>28</v>
      </c>
      <c r="E221" s="3">
        <v>45626</v>
      </c>
      <c r="F221" s="2"/>
    </row>
    <row r="222" spans="1:6" ht="24.95" customHeight="1" x14ac:dyDescent="0.4">
      <c r="A222" s="2" t="s">
        <v>2377</v>
      </c>
      <c r="B222" s="1" t="s">
        <v>743</v>
      </c>
      <c r="C222" s="1" t="str">
        <f t="shared" si="5"/>
        <v>呉市青山町3-1</v>
      </c>
      <c r="D222" s="1" t="s">
        <v>794</v>
      </c>
      <c r="E222" s="3">
        <v>45626</v>
      </c>
      <c r="F222" s="2"/>
    </row>
    <row r="223" spans="1:6" ht="24.95" customHeight="1" x14ac:dyDescent="0.4">
      <c r="A223" s="2" t="s">
        <v>1606</v>
      </c>
      <c r="B223" s="1" t="s">
        <v>743</v>
      </c>
      <c r="C223" s="1" t="str">
        <f t="shared" si="5"/>
        <v>呉市青山町3-1</v>
      </c>
      <c r="D223" s="1" t="s">
        <v>869</v>
      </c>
      <c r="E223" s="3">
        <v>45991</v>
      </c>
      <c r="F223" s="2"/>
    </row>
    <row r="224" spans="1:6" ht="24.95" customHeight="1" x14ac:dyDescent="0.4">
      <c r="A224" s="2" t="s">
        <v>730</v>
      </c>
      <c r="B224" s="1" t="s">
        <v>743</v>
      </c>
      <c r="C224" s="1" t="str">
        <f t="shared" si="5"/>
        <v>呉市青山町3-1</v>
      </c>
      <c r="D224" s="1" t="s">
        <v>700</v>
      </c>
      <c r="E224" s="3">
        <v>45991</v>
      </c>
      <c r="F224" s="2"/>
    </row>
    <row r="225" spans="1:6" ht="24.95" customHeight="1" x14ac:dyDescent="0.4">
      <c r="A225" s="2" t="s">
        <v>2170</v>
      </c>
      <c r="B225" s="1" t="s">
        <v>743</v>
      </c>
      <c r="C225" s="1" t="str">
        <f t="shared" si="5"/>
        <v>呉市青山町3-1</v>
      </c>
      <c r="D225" s="1" t="s">
        <v>286</v>
      </c>
      <c r="E225" s="3">
        <v>45991</v>
      </c>
      <c r="F225" s="2"/>
    </row>
    <row r="226" spans="1:6" ht="24.95" customHeight="1" x14ac:dyDescent="0.4">
      <c r="A226" s="2" t="s">
        <v>1513</v>
      </c>
      <c r="B226" s="1" t="s">
        <v>743</v>
      </c>
      <c r="C226" s="1" t="str">
        <f t="shared" si="5"/>
        <v>呉市青山町3-1</v>
      </c>
      <c r="D226" s="1" t="s">
        <v>240</v>
      </c>
      <c r="E226" s="3">
        <v>45991</v>
      </c>
      <c r="F226" s="2"/>
    </row>
    <row r="227" spans="1:6" ht="24.95" customHeight="1" x14ac:dyDescent="0.4">
      <c r="A227" s="2" t="s">
        <v>542</v>
      </c>
      <c r="B227" s="1" t="s">
        <v>743</v>
      </c>
      <c r="C227" s="1" t="str">
        <f t="shared" si="5"/>
        <v>呉市青山町3-1</v>
      </c>
      <c r="D227" s="1" t="s">
        <v>1310</v>
      </c>
      <c r="E227" s="3">
        <v>45991</v>
      </c>
      <c r="F227" s="2"/>
    </row>
    <row r="228" spans="1:6" ht="24.95" customHeight="1" x14ac:dyDescent="0.4">
      <c r="A228" s="2" t="s">
        <v>2435</v>
      </c>
      <c r="B228" s="1" t="s">
        <v>743</v>
      </c>
      <c r="C228" s="1" t="str">
        <f t="shared" si="5"/>
        <v>呉市青山町3-1</v>
      </c>
      <c r="D228" s="1" t="s">
        <v>700</v>
      </c>
      <c r="E228" s="3">
        <v>46356</v>
      </c>
      <c r="F228" s="2"/>
    </row>
    <row r="229" spans="1:6" ht="24.95" customHeight="1" x14ac:dyDescent="0.4">
      <c r="A229" s="2" t="s">
        <v>2439</v>
      </c>
      <c r="B229" s="1" t="s">
        <v>743</v>
      </c>
      <c r="C229" s="1" t="str">
        <f t="shared" si="5"/>
        <v>呉市青山町3-1</v>
      </c>
      <c r="D229" s="1" t="s">
        <v>122</v>
      </c>
      <c r="E229" s="3">
        <v>46356</v>
      </c>
      <c r="F229" s="2"/>
    </row>
    <row r="230" spans="1:6" ht="24.95" customHeight="1" x14ac:dyDescent="0.4">
      <c r="A230" s="2" t="s">
        <v>2209</v>
      </c>
      <c r="B230" s="1" t="s">
        <v>743</v>
      </c>
      <c r="C230" s="1" t="str">
        <f t="shared" si="5"/>
        <v>呉市青山町3-1</v>
      </c>
      <c r="D230" s="1" t="s">
        <v>179</v>
      </c>
      <c r="E230" s="3">
        <v>46721</v>
      </c>
      <c r="F230" s="2"/>
    </row>
    <row r="231" spans="1:6" ht="24.95" customHeight="1" x14ac:dyDescent="0.4">
      <c r="A231" s="2" t="s">
        <v>2198</v>
      </c>
      <c r="B231" s="1" t="s">
        <v>743</v>
      </c>
      <c r="C231" s="1" t="str">
        <f t="shared" si="5"/>
        <v>呉市青山町3-1</v>
      </c>
      <c r="D231" s="1" t="s">
        <v>796</v>
      </c>
      <c r="E231" s="3">
        <v>46721</v>
      </c>
      <c r="F231" s="2"/>
    </row>
    <row r="232" spans="1:6" ht="24.95" customHeight="1" x14ac:dyDescent="0.4">
      <c r="A232" s="2" t="s">
        <v>2482</v>
      </c>
      <c r="B232" s="1" t="s">
        <v>743</v>
      </c>
      <c r="C232" s="1" t="str">
        <f t="shared" si="5"/>
        <v>呉市青山町3-1</v>
      </c>
      <c r="D232" s="1" t="s">
        <v>139</v>
      </c>
      <c r="E232" s="3">
        <v>46721</v>
      </c>
      <c r="F232" s="2"/>
    </row>
    <row r="233" spans="1:6" ht="24.95" customHeight="1" x14ac:dyDescent="0.4">
      <c r="A233" s="2" t="s">
        <v>719</v>
      </c>
      <c r="B233" s="1" t="s">
        <v>743</v>
      </c>
      <c r="C233" s="1" t="str">
        <f t="shared" si="5"/>
        <v>呉市青山町3-1</v>
      </c>
      <c r="D233" s="1" t="s">
        <v>67</v>
      </c>
      <c r="E233" s="3">
        <v>46356</v>
      </c>
      <c r="F233" s="2"/>
    </row>
    <row r="234" spans="1:6" ht="24.95" customHeight="1" x14ac:dyDescent="0.4">
      <c r="A234" s="2" t="s">
        <v>315</v>
      </c>
      <c r="B234" s="1" t="s">
        <v>515</v>
      </c>
      <c r="C234" s="1" t="str">
        <f>"呉市倉橋町7382-2"</f>
        <v>呉市倉橋町7382-2</v>
      </c>
      <c r="D234" s="1" t="s">
        <v>30</v>
      </c>
      <c r="E234" s="3">
        <v>47087</v>
      </c>
      <c r="F234" s="2"/>
    </row>
    <row r="235" spans="1:6" ht="24.95" customHeight="1" x14ac:dyDescent="0.4">
      <c r="A235" s="2" t="s">
        <v>1192</v>
      </c>
      <c r="B235" s="1" t="s">
        <v>2593</v>
      </c>
      <c r="C235" s="1" t="str">
        <f>"呉市中央1-3-1-2F"</f>
        <v>呉市中央1-3-1-2F</v>
      </c>
      <c r="D235" s="1" t="s">
        <v>192</v>
      </c>
      <c r="E235" s="3">
        <v>47087</v>
      </c>
      <c r="F235" s="2"/>
    </row>
    <row r="236" spans="1:6" ht="24.95" customHeight="1" x14ac:dyDescent="0.4">
      <c r="A236" s="2" t="s">
        <v>149</v>
      </c>
      <c r="B236" s="1" t="s">
        <v>650</v>
      </c>
      <c r="C236" s="1" t="str">
        <f>"呉市中央1-5-15-2F"</f>
        <v>呉市中央1-5-15-2F</v>
      </c>
      <c r="D236" s="1" t="s">
        <v>201</v>
      </c>
      <c r="E236" s="3">
        <v>47087</v>
      </c>
      <c r="F236" s="2"/>
    </row>
    <row r="237" spans="1:6" ht="24.95" customHeight="1" x14ac:dyDescent="0.4">
      <c r="A237" s="2" t="s">
        <v>1488</v>
      </c>
      <c r="B237" s="1" t="s">
        <v>1351</v>
      </c>
      <c r="C237" s="1" t="str">
        <f>"呉市中央1-5-21"</f>
        <v>呉市中央1-5-21</v>
      </c>
      <c r="D237" s="1" t="s">
        <v>186</v>
      </c>
      <c r="E237" s="3">
        <v>46356</v>
      </c>
      <c r="F237" s="2"/>
    </row>
    <row r="238" spans="1:6" ht="24.95" customHeight="1" x14ac:dyDescent="0.4">
      <c r="A238" s="2" t="s">
        <v>2174</v>
      </c>
      <c r="B238" s="1" t="s">
        <v>2175</v>
      </c>
      <c r="C238" s="1" t="str">
        <f>"呉市中央2-6-13"</f>
        <v>呉市中央2-6-13</v>
      </c>
      <c r="D238" s="1" t="s">
        <v>1664</v>
      </c>
      <c r="E238" s="3">
        <v>47087</v>
      </c>
      <c r="F238" s="2"/>
    </row>
    <row r="239" spans="1:6" ht="24.95" customHeight="1" x14ac:dyDescent="0.4">
      <c r="A239" s="2" t="s">
        <v>593</v>
      </c>
      <c r="B239" s="1" t="s">
        <v>594</v>
      </c>
      <c r="C239" s="1" t="str">
        <f>"呉市中央2-6-20"</f>
        <v>呉市中央2-6-20</v>
      </c>
      <c r="D239" s="1" t="s">
        <v>112</v>
      </c>
      <c r="E239" s="3">
        <v>47087</v>
      </c>
      <c r="F239" s="2"/>
    </row>
    <row r="240" spans="1:6" ht="24.95" customHeight="1" x14ac:dyDescent="0.4">
      <c r="A240" s="2" t="s">
        <v>2096</v>
      </c>
      <c r="B240" s="1" t="s">
        <v>594</v>
      </c>
      <c r="C240" s="1" t="str">
        <f>"呉市中央2-6-20"</f>
        <v>呉市中央2-6-20</v>
      </c>
      <c r="D240" s="1" t="s">
        <v>30</v>
      </c>
      <c r="E240" s="3">
        <v>47087</v>
      </c>
      <c r="F240" s="2"/>
    </row>
    <row r="241" spans="1:6" ht="24.95" customHeight="1" x14ac:dyDescent="0.4">
      <c r="A241" s="2" t="s">
        <v>1496</v>
      </c>
      <c r="B241" s="1" t="s">
        <v>2683</v>
      </c>
      <c r="C241" s="1" t="str">
        <f>"呉市中央3-1-9"</f>
        <v>呉市中央3-1-9</v>
      </c>
      <c r="D241" s="1" t="s">
        <v>220</v>
      </c>
      <c r="E241" s="3">
        <v>47087</v>
      </c>
      <c r="F241" s="2"/>
    </row>
    <row r="242" spans="1:6" ht="24.95" customHeight="1" x14ac:dyDescent="0.4">
      <c r="A242" s="2" t="s">
        <v>575</v>
      </c>
      <c r="B242" s="1" t="s">
        <v>654</v>
      </c>
      <c r="C242" s="1" t="str">
        <f>"呉市中央4-4-5"</f>
        <v>呉市中央4-4-5</v>
      </c>
      <c r="D242" s="1" t="s">
        <v>186</v>
      </c>
      <c r="E242" s="3">
        <v>47087</v>
      </c>
      <c r="F242" s="2"/>
    </row>
    <row r="243" spans="1:6" ht="24.95" customHeight="1" x14ac:dyDescent="0.4">
      <c r="A243" s="2" t="s">
        <v>413</v>
      </c>
      <c r="B243" s="1" t="s">
        <v>654</v>
      </c>
      <c r="C243" s="1" t="str">
        <f>"呉市中央4-4-5"</f>
        <v>呉市中央4-4-5</v>
      </c>
      <c r="D243" s="1" t="s">
        <v>30</v>
      </c>
      <c r="E243" s="3">
        <v>47087</v>
      </c>
      <c r="F243" s="2"/>
    </row>
    <row r="244" spans="1:6" ht="24.95" customHeight="1" x14ac:dyDescent="0.4">
      <c r="A244" s="2" t="s">
        <v>887</v>
      </c>
      <c r="B244" s="1" t="s">
        <v>654</v>
      </c>
      <c r="C244" s="1" t="str">
        <f>"呉市中央4-4-5"</f>
        <v>呉市中央4-4-5</v>
      </c>
      <c r="D244" s="1" t="s">
        <v>324</v>
      </c>
      <c r="E244" s="3">
        <v>47087</v>
      </c>
      <c r="F244" s="2"/>
    </row>
    <row r="245" spans="1:6" ht="24.95" customHeight="1" x14ac:dyDescent="0.4">
      <c r="A245" s="2" t="s">
        <v>1146</v>
      </c>
      <c r="B245" s="1" t="s">
        <v>2386</v>
      </c>
      <c r="C245" s="1" t="str">
        <f>"呉市中央6-5-2"</f>
        <v>呉市中央6-5-2</v>
      </c>
      <c r="D245" s="1" t="s">
        <v>324</v>
      </c>
      <c r="E245" s="3">
        <v>45991</v>
      </c>
      <c r="F245" s="2"/>
    </row>
    <row r="246" spans="1:6" ht="24.95" customHeight="1" x14ac:dyDescent="0.4">
      <c r="A246" s="2" t="s">
        <v>1707</v>
      </c>
      <c r="B246" s="1" t="s">
        <v>1708</v>
      </c>
      <c r="C246" s="1" t="str">
        <f>"呉市中通1-3-14　3F"</f>
        <v>呉市中通1-3-14　3F</v>
      </c>
      <c r="D246" s="1" t="s">
        <v>104</v>
      </c>
      <c r="E246" s="3">
        <v>47087</v>
      </c>
      <c r="F246" s="2"/>
    </row>
    <row r="247" spans="1:6" ht="24.95" customHeight="1" x14ac:dyDescent="0.4">
      <c r="A247" s="2" t="s">
        <v>886</v>
      </c>
      <c r="B247" s="1" t="s">
        <v>556</v>
      </c>
      <c r="C247" s="1" t="str">
        <f>"呉市中通1-3-8"</f>
        <v>呉市中通1-3-8</v>
      </c>
      <c r="D247" s="1" t="s">
        <v>324</v>
      </c>
      <c r="E247" s="3">
        <v>47087</v>
      </c>
      <c r="F247" s="2"/>
    </row>
    <row r="248" spans="1:6" ht="24.95" customHeight="1" x14ac:dyDescent="0.4">
      <c r="A248" s="2" t="s">
        <v>1268</v>
      </c>
      <c r="B248" s="1" t="s">
        <v>556</v>
      </c>
      <c r="C248" s="1" t="str">
        <f>"呉市中通1-3-8"</f>
        <v>呉市中通1-3-8</v>
      </c>
      <c r="D248" s="1" t="s">
        <v>30</v>
      </c>
      <c r="E248" s="3">
        <v>47087</v>
      </c>
      <c r="F248" s="2"/>
    </row>
    <row r="249" spans="1:6" ht="24.95" customHeight="1" x14ac:dyDescent="0.4">
      <c r="A249" s="2" t="s">
        <v>877</v>
      </c>
      <c r="B249" s="1" t="s">
        <v>556</v>
      </c>
      <c r="C249" s="1" t="str">
        <f>"呉市中通1-3-8"</f>
        <v>呉市中通1-3-8</v>
      </c>
      <c r="D249" s="1" t="s">
        <v>122</v>
      </c>
      <c r="E249" s="3">
        <v>47087</v>
      </c>
      <c r="F249" s="2"/>
    </row>
    <row r="250" spans="1:6" ht="24.95" customHeight="1" x14ac:dyDescent="0.4">
      <c r="A250" s="2" t="s">
        <v>396</v>
      </c>
      <c r="B250" s="1" t="s">
        <v>556</v>
      </c>
      <c r="C250" s="1" t="str">
        <f>"呉市中通1-3-8"</f>
        <v>呉市中通1-3-8</v>
      </c>
      <c r="D250" s="1" t="s">
        <v>324</v>
      </c>
      <c r="E250" s="3">
        <v>46356</v>
      </c>
      <c r="F250" s="2"/>
    </row>
    <row r="251" spans="1:6" ht="24.95" customHeight="1" x14ac:dyDescent="0.4">
      <c r="A251" s="2" t="s">
        <v>2129</v>
      </c>
      <c r="B251" s="1" t="s">
        <v>556</v>
      </c>
      <c r="C251" s="1" t="str">
        <f>"呉市中通1-3-8"</f>
        <v>呉市中通1-3-8</v>
      </c>
      <c r="D251" s="1" t="s">
        <v>700</v>
      </c>
      <c r="E251" s="3">
        <v>45991</v>
      </c>
      <c r="F251" s="2"/>
    </row>
    <row r="252" spans="1:6" ht="24.95" customHeight="1" x14ac:dyDescent="0.4">
      <c r="A252" s="2" t="s">
        <v>649</v>
      </c>
      <c r="B252" s="1" t="s">
        <v>627</v>
      </c>
      <c r="C252" s="1" t="str">
        <f>"呉市中通1-5-25"</f>
        <v>呉市中通1-5-25</v>
      </c>
      <c r="D252" s="1" t="s">
        <v>186</v>
      </c>
      <c r="E252" s="3">
        <v>47087</v>
      </c>
      <c r="F252" s="2"/>
    </row>
    <row r="253" spans="1:6" ht="24.95" customHeight="1" x14ac:dyDescent="0.4">
      <c r="A253" s="2" t="s">
        <v>195</v>
      </c>
      <c r="B253" s="1" t="s">
        <v>108</v>
      </c>
      <c r="C253" s="1" t="str">
        <f>"呉市中通2-1-24"</f>
        <v>呉市中通2-1-24</v>
      </c>
      <c r="D253" s="1" t="s">
        <v>44</v>
      </c>
      <c r="E253" s="3">
        <v>47087</v>
      </c>
      <c r="F253" s="2"/>
    </row>
    <row r="254" spans="1:6" ht="24.95" customHeight="1" x14ac:dyDescent="0.4">
      <c r="A254" s="2" t="s">
        <v>1089</v>
      </c>
      <c r="B254" s="1" t="s">
        <v>1093</v>
      </c>
      <c r="C254" s="1" t="str">
        <f>"呉市中通2-8-18"</f>
        <v>呉市中通2-8-18</v>
      </c>
      <c r="D254" s="1" t="s">
        <v>201</v>
      </c>
      <c r="E254" s="3">
        <v>47087</v>
      </c>
      <c r="F254" s="2"/>
    </row>
    <row r="255" spans="1:6" ht="24.95" customHeight="1" x14ac:dyDescent="0.4">
      <c r="A255" s="2" t="s">
        <v>1094</v>
      </c>
      <c r="B255" s="1" t="s">
        <v>1093</v>
      </c>
      <c r="C255" s="1" t="str">
        <f>"呉市中通2-8-18"</f>
        <v>呉市中通2-8-18</v>
      </c>
      <c r="D255" s="1" t="s">
        <v>103</v>
      </c>
      <c r="E255" s="3">
        <v>47087</v>
      </c>
      <c r="F255" s="2"/>
    </row>
    <row r="256" spans="1:6" ht="24.95" customHeight="1" x14ac:dyDescent="0.4">
      <c r="A256" s="2" t="s">
        <v>481</v>
      </c>
      <c r="B256" s="1" t="s">
        <v>1086</v>
      </c>
      <c r="C256" s="1" t="str">
        <f t="shared" ref="C256:C261" si="6">"呉市朝日町15-24"</f>
        <v>呉市朝日町15-24</v>
      </c>
      <c r="D256" s="1" t="s">
        <v>1103</v>
      </c>
      <c r="E256" s="3">
        <v>47087</v>
      </c>
      <c r="F256" s="2"/>
    </row>
    <row r="257" spans="1:6" ht="24.95" customHeight="1" x14ac:dyDescent="0.4">
      <c r="A257" s="2" t="s">
        <v>737</v>
      </c>
      <c r="B257" s="1" t="s">
        <v>1086</v>
      </c>
      <c r="C257" s="1" t="str">
        <f t="shared" si="6"/>
        <v>呉市朝日町15-24</v>
      </c>
      <c r="D257" s="1" t="s">
        <v>531</v>
      </c>
      <c r="E257" s="3">
        <v>47087</v>
      </c>
      <c r="F257" s="2"/>
    </row>
    <row r="258" spans="1:6" ht="24.95" customHeight="1" x14ac:dyDescent="0.4">
      <c r="A258" s="2" t="s">
        <v>2396</v>
      </c>
      <c r="B258" s="1" t="s">
        <v>1086</v>
      </c>
      <c r="C258" s="1" t="str">
        <f t="shared" si="6"/>
        <v>呉市朝日町15-24</v>
      </c>
      <c r="D258" s="1" t="s">
        <v>30</v>
      </c>
      <c r="E258" s="3">
        <v>45991</v>
      </c>
      <c r="F258" s="2"/>
    </row>
    <row r="259" spans="1:6" ht="24.95" customHeight="1" x14ac:dyDescent="0.4">
      <c r="A259" s="2" t="s">
        <v>2572</v>
      </c>
      <c r="B259" s="1" t="s">
        <v>1086</v>
      </c>
      <c r="C259" s="1" t="str">
        <f t="shared" si="6"/>
        <v>呉市朝日町15-24</v>
      </c>
      <c r="D259" s="1" t="s">
        <v>30</v>
      </c>
      <c r="E259" s="3">
        <v>47087</v>
      </c>
      <c r="F259" s="2"/>
    </row>
    <row r="260" spans="1:6" ht="24.95" customHeight="1" x14ac:dyDescent="0.4">
      <c r="A260" s="2" t="s">
        <v>2573</v>
      </c>
      <c r="B260" s="1" t="s">
        <v>1086</v>
      </c>
      <c r="C260" s="1" t="str">
        <f t="shared" si="6"/>
        <v>呉市朝日町15-24</v>
      </c>
      <c r="D260" s="1" t="s">
        <v>30</v>
      </c>
      <c r="E260" s="3">
        <v>47087</v>
      </c>
      <c r="F260" s="2"/>
    </row>
    <row r="261" spans="1:6" ht="24.95" customHeight="1" x14ac:dyDescent="0.4">
      <c r="A261" s="2" t="s">
        <v>2722</v>
      </c>
      <c r="B261" s="1" t="s">
        <v>1086</v>
      </c>
      <c r="C261" s="1" t="str">
        <f t="shared" si="6"/>
        <v>呉市朝日町15-24</v>
      </c>
      <c r="D261" s="1" t="s">
        <v>1103</v>
      </c>
      <c r="E261" s="3">
        <v>46356</v>
      </c>
      <c r="F261" s="2"/>
    </row>
    <row r="262" spans="1:6" ht="24.95" customHeight="1" x14ac:dyDescent="0.4">
      <c r="A262" s="2" t="s">
        <v>2762</v>
      </c>
      <c r="B262" s="1" t="s">
        <v>1242</v>
      </c>
      <c r="C262" s="1" t="str">
        <f>"呉市朝日町1-8"</f>
        <v>呉市朝日町1-8</v>
      </c>
      <c r="D262" s="1" t="s">
        <v>346</v>
      </c>
      <c r="E262" s="3">
        <v>46356</v>
      </c>
      <c r="F262" s="2"/>
    </row>
    <row r="263" spans="1:6" ht="24.95" customHeight="1" x14ac:dyDescent="0.4">
      <c r="A263" s="2" t="s">
        <v>167</v>
      </c>
      <c r="B263" s="1" t="s">
        <v>2530</v>
      </c>
      <c r="C263" s="1" t="str">
        <f>"呉市東中央2-1-7"</f>
        <v>呉市東中央2-1-7</v>
      </c>
      <c r="D263" s="1" t="s">
        <v>279</v>
      </c>
      <c r="E263" s="3">
        <v>47087</v>
      </c>
      <c r="F263" s="2"/>
    </row>
    <row r="264" spans="1:6" ht="24.95" customHeight="1" x14ac:dyDescent="0.4">
      <c r="A264" s="2" t="s">
        <v>1216</v>
      </c>
      <c r="B264" s="1" t="s">
        <v>1237</v>
      </c>
      <c r="C264" s="1" t="str">
        <f>"呉市東中央2-5-22"</f>
        <v>呉市東中央2-5-22</v>
      </c>
      <c r="D264" s="1" t="s">
        <v>1057</v>
      </c>
      <c r="E264" s="3">
        <v>47087</v>
      </c>
      <c r="F264" s="2"/>
    </row>
    <row r="265" spans="1:6" ht="24.95" customHeight="1" x14ac:dyDescent="0.4">
      <c r="A265" s="2" t="s">
        <v>1715</v>
      </c>
      <c r="B265" s="1" t="s">
        <v>2057</v>
      </c>
      <c r="C265" s="1" t="str">
        <f>"呉市東中央2-8-18"</f>
        <v>呉市東中央2-8-18</v>
      </c>
      <c r="D265" s="1" t="s">
        <v>1221</v>
      </c>
      <c r="E265" s="3">
        <v>47087</v>
      </c>
      <c r="F265" s="2"/>
    </row>
    <row r="266" spans="1:6" ht="24.95" customHeight="1" x14ac:dyDescent="0.4">
      <c r="A266" s="2" t="s">
        <v>64</v>
      </c>
      <c r="B266" s="1" t="s">
        <v>1822</v>
      </c>
      <c r="C266" s="1" t="str">
        <f>"呉市東中央4-5-25"</f>
        <v>呉市東中央4-5-25</v>
      </c>
      <c r="D266" s="1" t="s">
        <v>30</v>
      </c>
      <c r="E266" s="3">
        <v>47087</v>
      </c>
      <c r="F266" s="2"/>
    </row>
    <row r="267" spans="1:6" ht="24.95" customHeight="1" x14ac:dyDescent="0.4">
      <c r="A267" s="2" t="s">
        <v>2677</v>
      </c>
      <c r="B267" s="1" t="s">
        <v>1040</v>
      </c>
      <c r="C267" s="1" t="str">
        <f>"呉市東畑1-1-22"</f>
        <v>呉市東畑1-1-22</v>
      </c>
      <c r="D267" s="1" t="s">
        <v>30</v>
      </c>
      <c r="E267" s="3">
        <v>47087</v>
      </c>
      <c r="F267" s="2"/>
    </row>
    <row r="268" spans="1:6" ht="24.95" customHeight="1" x14ac:dyDescent="0.4">
      <c r="A268" s="2" t="s">
        <v>2072</v>
      </c>
      <c r="B268" s="1" t="s">
        <v>2588</v>
      </c>
      <c r="C268" s="1" t="str">
        <f>"呉市伏原1-8-13"</f>
        <v>呉市伏原1-8-13</v>
      </c>
      <c r="D268" s="1" t="s">
        <v>30</v>
      </c>
      <c r="E268" s="3">
        <v>47087</v>
      </c>
      <c r="F268" s="2"/>
    </row>
    <row r="269" spans="1:6" ht="24.95" customHeight="1" x14ac:dyDescent="0.4">
      <c r="A269" s="2" t="s">
        <v>2134</v>
      </c>
      <c r="B269" s="1" t="s">
        <v>2136</v>
      </c>
      <c r="C269" s="1" t="str">
        <f>"呉市宝町2-23-1"</f>
        <v>呉市宝町2-23-1</v>
      </c>
      <c r="D269" s="1" t="s">
        <v>2137</v>
      </c>
      <c r="E269" s="3">
        <v>47087</v>
      </c>
      <c r="F269" s="2"/>
    </row>
    <row r="270" spans="1:6" ht="24.95" customHeight="1" x14ac:dyDescent="0.4">
      <c r="A270" s="2" t="s">
        <v>1871</v>
      </c>
      <c r="B270" s="1" t="s">
        <v>999</v>
      </c>
      <c r="C270" s="1" t="str">
        <f>"呉市宝町2-23-1-306"</f>
        <v>呉市宝町2-23-1-306</v>
      </c>
      <c r="D270" s="1" t="s">
        <v>503</v>
      </c>
      <c r="E270" s="3">
        <v>47087</v>
      </c>
      <c r="F270" s="2"/>
    </row>
    <row r="271" spans="1:6" ht="24.95" customHeight="1" x14ac:dyDescent="0.4">
      <c r="A271" s="2" t="s">
        <v>715</v>
      </c>
      <c r="B271" s="1" t="s">
        <v>875</v>
      </c>
      <c r="C271" s="1" t="str">
        <f>"呉市宝町2-50"</f>
        <v>呉市宝町2-50</v>
      </c>
      <c r="D271" s="1" t="s">
        <v>324</v>
      </c>
      <c r="E271" s="3">
        <v>47087</v>
      </c>
      <c r="F271" s="2"/>
    </row>
    <row r="272" spans="1:6" ht="24.95" customHeight="1" x14ac:dyDescent="0.4">
      <c r="A272" s="2" t="s">
        <v>1805</v>
      </c>
      <c r="B272" s="1" t="s">
        <v>875</v>
      </c>
      <c r="C272" s="1" t="str">
        <f>"呉市宝町2-50"</f>
        <v>呉市宝町2-50</v>
      </c>
      <c r="D272" s="1" t="s">
        <v>324</v>
      </c>
      <c r="E272" s="3">
        <v>47087</v>
      </c>
      <c r="F272" s="2"/>
    </row>
    <row r="273" spans="1:6" ht="24.95" customHeight="1" x14ac:dyDescent="0.4">
      <c r="A273" s="2" t="s">
        <v>2465</v>
      </c>
      <c r="B273" s="1" t="s">
        <v>875</v>
      </c>
      <c r="C273" s="1" t="str">
        <f>"呉市宝町2-50"</f>
        <v>呉市宝町2-50</v>
      </c>
      <c r="D273" s="1" t="s">
        <v>324</v>
      </c>
      <c r="E273" s="3">
        <v>46721</v>
      </c>
      <c r="F273" s="2"/>
    </row>
    <row r="274" spans="1:6" ht="24.95" customHeight="1" x14ac:dyDescent="0.4">
      <c r="A274" s="2" t="s">
        <v>1798</v>
      </c>
      <c r="B274" s="1" t="s">
        <v>1803</v>
      </c>
      <c r="C274" s="1" t="str">
        <f t="shared" ref="C274:C280" si="7">"呉市宝町3-15"</f>
        <v>呉市宝町3-15</v>
      </c>
      <c r="D274" s="1" t="s">
        <v>139</v>
      </c>
      <c r="E274" s="3">
        <v>47087</v>
      </c>
      <c r="F274" s="2"/>
    </row>
    <row r="275" spans="1:6" ht="24.95" customHeight="1" x14ac:dyDescent="0.4">
      <c r="A275" s="2" t="s">
        <v>1044</v>
      </c>
      <c r="B275" s="1" t="s">
        <v>1803</v>
      </c>
      <c r="C275" s="1" t="str">
        <f t="shared" si="7"/>
        <v>呉市宝町3-15</v>
      </c>
      <c r="D275" s="1" t="s">
        <v>139</v>
      </c>
      <c r="E275" s="3">
        <v>47087</v>
      </c>
      <c r="F275" s="2"/>
    </row>
    <row r="276" spans="1:6" ht="24.95" customHeight="1" x14ac:dyDescent="0.4">
      <c r="A276" s="2" t="s">
        <v>1300</v>
      </c>
      <c r="B276" s="1" t="s">
        <v>1803</v>
      </c>
      <c r="C276" s="1" t="str">
        <f t="shared" si="7"/>
        <v>呉市宝町3-15</v>
      </c>
      <c r="D276" s="1" t="s">
        <v>139</v>
      </c>
      <c r="E276" s="3">
        <v>47087</v>
      </c>
      <c r="F276" s="2"/>
    </row>
    <row r="277" spans="1:6" ht="24.95" customHeight="1" x14ac:dyDescent="0.4">
      <c r="A277" s="2" t="s">
        <v>1815</v>
      </c>
      <c r="B277" s="1" t="s">
        <v>1803</v>
      </c>
      <c r="C277" s="1" t="str">
        <f t="shared" si="7"/>
        <v>呉市宝町3-15</v>
      </c>
      <c r="D277" s="1" t="s">
        <v>139</v>
      </c>
      <c r="E277" s="3">
        <v>47087</v>
      </c>
      <c r="F277" s="2"/>
    </row>
    <row r="278" spans="1:6" ht="24.95" customHeight="1" x14ac:dyDescent="0.4">
      <c r="A278" s="2" t="s">
        <v>1718</v>
      </c>
      <c r="B278" s="1" t="s">
        <v>1803</v>
      </c>
      <c r="C278" s="1" t="str">
        <f t="shared" si="7"/>
        <v>呉市宝町3-15</v>
      </c>
      <c r="D278" s="1" t="s">
        <v>139</v>
      </c>
      <c r="E278" s="3">
        <v>47087</v>
      </c>
      <c r="F278" s="2"/>
    </row>
    <row r="279" spans="1:6" ht="24.95" customHeight="1" x14ac:dyDescent="0.4">
      <c r="A279" s="2" t="s">
        <v>2131</v>
      </c>
      <c r="B279" s="1" t="s">
        <v>1803</v>
      </c>
      <c r="C279" s="1" t="str">
        <f t="shared" si="7"/>
        <v>呉市宝町3-15</v>
      </c>
      <c r="D279" s="1" t="s">
        <v>139</v>
      </c>
      <c r="E279" s="3">
        <v>47087</v>
      </c>
      <c r="F279" s="2"/>
    </row>
    <row r="280" spans="1:6" ht="24.95" customHeight="1" x14ac:dyDescent="0.4">
      <c r="A280" s="2" t="s">
        <v>2308</v>
      </c>
      <c r="B280" s="1" t="s">
        <v>1803</v>
      </c>
      <c r="C280" s="1" t="str">
        <f t="shared" si="7"/>
        <v>呉市宝町3-15</v>
      </c>
      <c r="D280" s="1" t="s">
        <v>30</v>
      </c>
      <c r="E280" s="3">
        <v>47087</v>
      </c>
      <c r="F280" s="2"/>
    </row>
    <row r="281" spans="1:6" ht="24.95" customHeight="1" x14ac:dyDescent="0.4">
      <c r="A281" s="2" t="s">
        <v>2643</v>
      </c>
      <c r="B281" s="1" t="s">
        <v>1467</v>
      </c>
      <c r="C281" s="1" t="str">
        <f>"呉市本町4-1"</f>
        <v>呉市本町4-1</v>
      </c>
      <c r="D281" s="1" t="s">
        <v>950</v>
      </c>
      <c r="E281" s="3">
        <v>47087</v>
      </c>
      <c r="F281" s="2"/>
    </row>
    <row r="282" spans="1:6" ht="24.95" customHeight="1" x14ac:dyDescent="0.4">
      <c r="A282" s="2" t="s">
        <v>963</v>
      </c>
      <c r="B282" s="1" t="s">
        <v>1097</v>
      </c>
      <c r="C282" s="1" t="str">
        <f>"呉市本町4-2"</f>
        <v>呉市本町4-2</v>
      </c>
      <c r="D282" s="1" t="s">
        <v>964</v>
      </c>
      <c r="E282" s="3">
        <v>47087</v>
      </c>
      <c r="F282" s="2"/>
    </row>
    <row r="283" spans="1:6" ht="24.95" customHeight="1" x14ac:dyDescent="0.4">
      <c r="A283" s="2" t="s">
        <v>182</v>
      </c>
      <c r="B283" s="1" t="s">
        <v>185</v>
      </c>
      <c r="C283" s="1" t="str">
        <f>"呉市本町9-16"</f>
        <v>呉市本町9-16</v>
      </c>
      <c r="D283" s="1" t="s">
        <v>186</v>
      </c>
      <c r="E283" s="3">
        <v>47087</v>
      </c>
      <c r="F283" s="2"/>
    </row>
    <row r="284" spans="1:6" ht="24.95" customHeight="1" x14ac:dyDescent="0.4">
      <c r="A284" s="2" t="s">
        <v>1917</v>
      </c>
      <c r="B284" s="1" t="s">
        <v>1918</v>
      </c>
      <c r="C284" s="1" t="str">
        <f>"呉市本町9-19"</f>
        <v>呉市本町9-19</v>
      </c>
      <c r="D284" s="1" t="s">
        <v>576</v>
      </c>
      <c r="E284" s="3">
        <v>47087</v>
      </c>
      <c r="F284" s="2"/>
    </row>
    <row r="285" spans="1:6" ht="24.95" customHeight="1" x14ac:dyDescent="0.4">
      <c r="A285" s="2" t="s">
        <v>511</v>
      </c>
      <c r="B285" s="1" t="s">
        <v>446</v>
      </c>
      <c r="C285" s="1" t="str">
        <f>"呉市本通1-1-1"</f>
        <v>呉市本通1-1-1</v>
      </c>
      <c r="D285" s="1" t="s">
        <v>30</v>
      </c>
      <c r="E285" s="3">
        <v>47087</v>
      </c>
      <c r="F285" s="2"/>
    </row>
    <row r="286" spans="1:6" ht="24.95" customHeight="1" x14ac:dyDescent="0.4">
      <c r="A286" s="2" t="s">
        <v>2444</v>
      </c>
      <c r="B286" s="1" t="s">
        <v>2711</v>
      </c>
      <c r="C286" s="1" t="str">
        <f>"呉市本通2-6-7"</f>
        <v>呉市本通2-6-7</v>
      </c>
      <c r="D286" s="1" t="s">
        <v>30</v>
      </c>
      <c r="E286" s="3">
        <v>45991</v>
      </c>
      <c r="F286" s="2"/>
    </row>
    <row r="287" spans="1:6" ht="24.95" customHeight="1" x14ac:dyDescent="0.4">
      <c r="A287" s="2" t="s">
        <v>204</v>
      </c>
      <c r="B287" s="1" t="s">
        <v>332</v>
      </c>
      <c r="C287" s="1" t="str">
        <f>"呉市本通4-6-5"</f>
        <v>呉市本通4-6-5</v>
      </c>
      <c r="D287" s="1" t="s">
        <v>333</v>
      </c>
      <c r="E287" s="3">
        <v>47087</v>
      </c>
      <c r="F287" s="2"/>
    </row>
    <row r="288" spans="1:6" ht="24.95" customHeight="1" x14ac:dyDescent="0.4">
      <c r="A288" s="2" t="s">
        <v>72</v>
      </c>
      <c r="B288" s="1" t="s">
        <v>254</v>
      </c>
      <c r="C288" s="1" t="str">
        <f>"呉市本通5-1-24"</f>
        <v>呉市本通5-1-24</v>
      </c>
      <c r="D288" s="5" t="s">
        <v>257</v>
      </c>
      <c r="E288" s="3">
        <v>47087</v>
      </c>
      <c r="F288" s="2"/>
    </row>
    <row r="289" spans="1:6" ht="24.95" customHeight="1" x14ac:dyDescent="0.4">
      <c r="A289" s="2" t="s">
        <v>399</v>
      </c>
      <c r="B289" s="1" t="s">
        <v>463</v>
      </c>
      <c r="C289" s="1" t="str">
        <f>"呉市本通5-5-9"</f>
        <v>呉市本通5-5-9</v>
      </c>
      <c r="D289" s="1" t="s">
        <v>717</v>
      </c>
      <c r="E289" s="3">
        <v>47087</v>
      </c>
      <c r="F289" s="2"/>
    </row>
    <row r="290" spans="1:6" ht="24.95" customHeight="1" x14ac:dyDescent="0.4">
      <c r="A290" s="2" t="s">
        <v>2654</v>
      </c>
      <c r="B290" s="1" t="s">
        <v>2655</v>
      </c>
      <c r="C290" s="1" t="str">
        <f>"呉市本通7-1-20"</f>
        <v>呉市本通7-1-20</v>
      </c>
      <c r="D290" s="1" t="s">
        <v>794</v>
      </c>
      <c r="E290" s="3">
        <v>47087</v>
      </c>
      <c r="F290" s="2"/>
    </row>
    <row r="291" spans="1:6" ht="24.95" customHeight="1" x14ac:dyDescent="0.4">
      <c r="A291" s="2" t="s">
        <v>116</v>
      </c>
      <c r="B291" s="1" t="s">
        <v>128</v>
      </c>
      <c r="C291" s="1" t="str">
        <f>"呉市本通7-14-3"</f>
        <v>呉市本通7-14-3</v>
      </c>
      <c r="D291" s="1" t="s">
        <v>325</v>
      </c>
      <c r="E291" s="3">
        <v>47087</v>
      </c>
      <c r="F291" s="2"/>
    </row>
    <row r="292" spans="1:6" ht="24.95" customHeight="1" x14ac:dyDescent="0.4">
      <c r="A292" s="2" t="s">
        <v>2632</v>
      </c>
      <c r="B292" s="1" t="s">
        <v>2633</v>
      </c>
      <c r="C292" s="1" t="str">
        <f>"呉市和庄登町13-3"</f>
        <v>呉市和庄登町13-3</v>
      </c>
      <c r="D292" s="1" t="s">
        <v>30</v>
      </c>
      <c r="E292" s="3">
        <v>47087</v>
      </c>
      <c r="F292" s="2"/>
    </row>
    <row r="293" spans="1:6" ht="24.95" customHeight="1" x14ac:dyDescent="0.4">
      <c r="A293" s="2" t="s">
        <v>231</v>
      </c>
      <c r="B293" s="1" t="s">
        <v>1335</v>
      </c>
      <c r="C293" s="1" t="str">
        <f>"呉市中通2-1-26-4F"</f>
        <v>呉市中通2-1-26-4F</v>
      </c>
      <c r="D293" s="1" t="s">
        <v>576</v>
      </c>
      <c r="E293" s="3">
        <v>47087</v>
      </c>
      <c r="F293" s="2"/>
    </row>
    <row r="294" spans="1:6" ht="24.95" customHeight="1" x14ac:dyDescent="0.4">
      <c r="A294" s="2" t="s">
        <v>2091</v>
      </c>
      <c r="B294" s="1" t="s">
        <v>2092</v>
      </c>
      <c r="C294" s="1" t="s">
        <v>1808</v>
      </c>
      <c r="D294" s="1" t="s">
        <v>364</v>
      </c>
      <c r="E294" s="3">
        <v>47087</v>
      </c>
      <c r="F294" s="2"/>
    </row>
    <row r="295" spans="1:6" ht="24.95" customHeight="1" x14ac:dyDescent="0.4">
      <c r="A295" s="2" t="s">
        <v>1267</v>
      </c>
      <c r="B295" s="1" t="s">
        <v>2092</v>
      </c>
      <c r="C295" s="1" t="s">
        <v>1808</v>
      </c>
      <c r="D295" s="1" t="s">
        <v>324</v>
      </c>
      <c r="E295" s="3">
        <v>47087</v>
      </c>
      <c r="F295" s="2"/>
    </row>
    <row r="296" spans="1:6" ht="24.95" customHeight="1" x14ac:dyDescent="0.4">
      <c r="A296" s="2" t="s">
        <v>2196</v>
      </c>
      <c r="B296" s="1" t="s">
        <v>2092</v>
      </c>
      <c r="C296" s="1" t="s">
        <v>1808</v>
      </c>
      <c r="D296" s="1" t="s">
        <v>192</v>
      </c>
      <c r="E296" s="3">
        <v>45991</v>
      </c>
      <c r="F296" s="2"/>
    </row>
    <row r="297" spans="1:6" ht="24.95" customHeight="1" x14ac:dyDescent="0.4">
      <c r="A297" s="2" t="s">
        <v>622</v>
      </c>
      <c r="B297" s="1" t="s">
        <v>1240</v>
      </c>
      <c r="C297" s="1" t="s">
        <v>521</v>
      </c>
      <c r="D297" s="1" t="s">
        <v>240</v>
      </c>
      <c r="E297" s="3">
        <v>47087</v>
      </c>
      <c r="F297" s="2"/>
    </row>
    <row r="298" spans="1:6" ht="24.95" customHeight="1" x14ac:dyDescent="0.4">
      <c r="A298" s="2" t="s">
        <v>2058</v>
      </c>
      <c r="B298" s="1" t="s">
        <v>1240</v>
      </c>
      <c r="C298" s="1" t="s">
        <v>521</v>
      </c>
      <c r="D298" s="1" t="s">
        <v>531</v>
      </c>
      <c r="E298" s="3">
        <v>47087</v>
      </c>
      <c r="F298" s="2"/>
    </row>
    <row r="299" spans="1:6" ht="24.95" customHeight="1" x14ac:dyDescent="0.4">
      <c r="A299" s="2" t="s">
        <v>1831</v>
      </c>
      <c r="B299" s="1" t="s">
        <v>1240</v>
      </c>
      <c r="C299" s="1" t="s">
        <v>521</v>
      </c>
      <c r="D299" s="1" t="s">
        <v>531</v>
      </c>
      <c r="E299" s="3">
        <v>47087</v>
      </c>
      <c r="F299" s="2"/>
    </row>
    <row r="300" spans="1:6" ht="24.95" customHeight="1" x14ac:dyDescent="0.4">
      <c r="A300" s="2" t="s">
        <v>1692</v>
      </c>
      <c r="B300" s="1" t="s">
        <v>1240</v>
      </c>
      <c r="C300" s="1" t="s">
        <v>521</v>
      </c>
      <c r="D300" s="1" t="s">
        <v>324</v>
      </c>
      <c r="E300" s="3">
        <v>47087</v>
      </c>
      <c r="F300" s="2"/>
    </row>
    <row r="301" spans="1:6" ht="24.95" customHeight="1" x14ac:dyDescent="0.4">
      <c r="A301" s="2" t="s">
        <v>932</v>
      </c>
      <c r="B301" s="1" t="s">
        <v>1240</v>
      </c>
      <c r="C301" s="1" t="s">
        <v>521</v>
      </c>
      <c r="D301" s="1" t="s">
        <v>531</v>
      </c>
      <c r="E301" s="3">
        <v>46356</v>
      </c>
      <c r="F301" s="2"/>
    </row>
    <row r="302" spans="1:6" ht="24.95" customHeight="1" x14ac:dyDescent="0.4">
      <c r="A302" s="2" t="s">
        <v>381</v>
      </c>
      <c r="B302" s="1" t="s">
        <v>1240</v>
      </c>
      <c r="C302" s="1" t="s">
        <v>521</v>
      </c>
      <c r="D302" s="1" t="s">
        <v>122</v>
      </c>
      <c r="E302" s="3">
        <v>46356</v>
      </c>
      <c r="F302" s="2"/>
    </row>
    <row r="303" spans="1:6" ht="24.95" customHeight="1" x14ac:dyDescent="0.4">
      <c r="A303" s="2" t="s">
        <v>1790</v>
      </c>
      <c r="B303" s="1" t="s">
        <v>1240</v>
      </c>
      <c r="C303" s="1" t="s">
        <v>521</v>
      </c>
      <c r="D303" s="1" t="s">
        <v>950</v>
      </c>
      <c r="E303" s="3">
        <v>47087</v>
      </c>
      <c r="F303" s="2"/>
    </row>
    <row r="304" spans="1:6" ht="24.95" customHeight="1" x14ac:dyDescent="0.4">
      <c r="A304" s="2" t="s">
        <v>2663</v>
      </c>
      <c r="B304" s="1" t="s">
        <v>1240</v>
      </c>
      <c r="C304" s="1" t="s">
        <v>521</v>
      </c>
      <c r="D304" s="1" t="s">
        <v>344</v>
      </c>
      <c r="E304" s="3">
        <v>47087</v>
      </c>
      <c r="F304" s="2"/>
    </row>
    <row r="305" spans="1:6" ht="24.95" customHeight="1" x14ac:dyDescent="0.4">
      <c r="A305" s="2" t="s">
        <v>2</v>
      </c>
      <c r="B305" s="1" t="s">
        <v>898</v>
      </c>
      <c r="C305" s="1" t="str">
        <f>"竹原市下野町小井手3270-1"</f>
        <v>竹原市下野町小井手3270-1</v>
      </c>
      <c r="D305" s="1" t="s">
        <v>91</v>
      </c>
      <c r="E305" s="3">
        <v>47087</v>
      </c>
      <c r="F305" s="2"/>
    </row>
    <row r="306" spans="1:6" ht="24.95" customHeight="1" x14ac:dyDescent="0.4">
      <c r="A306" s="2" t="s">
        <v>1563</v>
      </c>
      <c r="B306" s="1" t="s">
        <v>1119</v>
      </c>
      <c r="C306" s="1" t="str">
        <f>"竹原市中央2-14-15"</f>
        <v>竹原市中央2-14-15</v>
      </c>
      <c r="D306" s="1" t="s">
        <v>30</v>
      </c>
      <c r="E306" s="3">
        <v>47087</v>
      </c>
      <c r="F306" s="2"/>
    </row>
    <row r="307" spans="1:6" ht="24.95" customHeight="1" x14ac:dyDescent="0.4">
      <c r="A307" s="2" t="s">
        <v>2124</v>
      </c>
      <c r="B307" s="1" t="s">
        <v>626</v>
      </c>
      <c r="C307" s="1" t="str">
        <f>"竹原市中央2-7-7"</f>
        <v>竹原市中央2-7-7</v>
      </c>
      <c r="D307" s="1" t="s">
        <v>139</v>
      </c>
      <c r="E307" s="3">
        <v>47087</v>
      </c>
      <c r="F307" s="2"/>
    </row>
    <row r="308" spans="1:6" ht="24.95" customHeight="1" x14ac:dyDescent="0.4">
      <c r="A308" s="2" t="s">
        <v>426</v>
      </c>
      <c r="B308" s="1" t="s">
        <v>626</v>
      </c>
      <c r="C308" s="1" t="str">
        <f>"竹原市中央2-7-7"</f>
        <v>竹原市中央2-7-7</v>
      </c>
      <c r="D308" s="1" t="s">
        <v>139</v>
      </c>
      <c r="E308" s="3">
        <v>47087</v>
      </c>
      <c r="F308" s="2"/>
    </row>
    <row r="309" spans="1:6" ht="24.95" customHeight="1" x14ac:dyDescent="0.4">
      <c r="A309" s="2" t="s">
        <v>1020</v>
      </c>
      <c r="B309" s="1" t="s">
        <v>626</v>
      </c>
      <c r="C309" s="1" t="str">
        <f>"竹原市中央2-7-7"</f>
        <v>竹原市中央2-7-7</v>
      </c>
      <c r="D309" s="1" t="s">
        <v>139</v>
      </c>
      <c r="E309" s="3">
        <v>47087</v>
      </c>
      <c r="F309" s="2"/>
    </row>
    <row r="310" spans="1:6" ht="24.95" customHeight="1" x14ac:dyDescent="0.4">
      <c r="A310" s="2" t="s">
        <v>2125</v>
      </c>
      <c r="B310" s="1" t="s">
        <v>626</v>
      </c>
      <c r="C310" s="1" t="str">
        <f>"竹原市中央2-7-7"</f>
        <v>竹原市中央2-7-7</v>
      </c>
      <c r="D310" s="1" t="s">
        <v>139</v>
      </c>
      <c r="E310" s="3">
        <v>47087</v>
      </c>
      <c r="F310" s="2"/>
    </row>
    <row r="311" spans="1:6" ht="24.95" customHeight="1" x14ac:dyDescent="0.4">
      <c r="A311" s="2" t="s">
        <v>1397</v>
      </c>
      <c r="B311" s="1" t="s">
        <v>1398</v>
      </c>
      <c r="C311" s="1" t="str">
        <f>"竹原市中央3-15-1"</f>
        <v>竹原市中央3-15-1</v>
      </c>
      <c r="D311" s="1" t="s">
        <v>1399</v>
      </c>
      <c r="E311" s="3">
        <v>47087</v>
      </c>
      <c r="F311" s="2"/>
    </row>
    <row r="312" spans="1:6" ht="24.95" customHeight="1" x14ac:dyDescent="0.4">
      <c r="A312" s="2" t="s">
        <v>2604</v>
      </c>
      <c r="B312" s="1" t="s">
        <v>1398</v>
      </c>
      <c r="C312" s="1" t="str">
        <f>"竹原市中央3-15-1"</f>
        <v>竹原市中央3-15-1</v>
      </c>
      <c r="D312" s="1" t="s">
        <v>1399</v>
      </c>
      <c r="E312" s="3">
        <v>47087</v>
      </c>
      <c r="F312" s="2"/>
    </row>
    <row r="313" spans="1:6" ht="24.95" customHeight="1" x14ac:dyDescent="0.4">
      <c r="A313" s="2" t="s">
        <v>1270</v>
      </c>
      <c r="B313" s="1" t="s">
        <v>1271</v>
      </c>
      <c r="C313" s="1" t="str">
        <f>"竹原市中央3-4-1"</f>
        <v>竹原市中央3-4-1</v>
      </c>
      <c r="D313" s="1" t="s">
        <v>37</v>
      </c>
      <c r="E313" s="3">
        <v>47087</v>
      </c>
      <c r="F313" s="2"/>
    </row>
    <row r="314" spans="1:6" ht="24.95" customHeight="1" x14ac:dyDescent="0.4">
      <c r="A314" s="2" t="s">
        <v>1945</v>
      </c>
      <c r="B314" s="1" t="s">
        <v>1922</v>
      </c>
      <c r="C314" s="1" t="str">
        <f>"竹原市中央4-4-25"</f>
        <v>竹原市中央4-4-25</v>
      </c>
      <c r="D314" s="1" t="s">
        <v>324</v>
      </c>
      <c r="E314" s="3">
        <v>47087</v>
      </c>
      <c r="F314" s="2"/>
    </row>
    <row r="315" spans="1:6" ht="24.95" customHeight="1" x14ac:dyDescent="0.4">
      <c r="A315" s="2" t="s">
        <v>2453</v>
      </c>
      <c r="B315" s="1" t="s">
        <v>1922</v>
      </c>
      <c r="C315" s="1" t="str">
        <f>"竹原市中央4-4-25"</f>
        <v>竹原市中央4-4-25</v>
      </c>
      <c r="D315" s="1" t="s">
        <v>30</v>
      </c>
      <c r="E315" s="3">
        <v>46356</v>
      </c>
      <c r="F315" s="2"/>
    </row>
    <row r="316" spans="1:6" ht="24.95" customHeight="1" x14ac:dyDescent="0.4">
      <c r="A316" s="2" t="s">
        <v>2616</v>
      </c>
      <c r="B316" s="1" t="s">
        <v>2617</v>
      </c>
      <c r="C316" s="1" t="str">
        <f>"竹原市忠海中町2-10-10"</f>
        <v>竹原市忠海中町2-10-10</v>
      </c>
      <c r="D316" s="1" t="s">
        <v>30</v>
      </c>
      <c r="E316" s="3">
        <v>47087</v>
      </c>
      <c r="F316" s="2"/>
    </row>
    <row r="317" spans="1:6" ht="24.95" customHeight="1" x14ac:dyDescent="0.4">
      <c r="A317" s="2" t="s">
        <v>2217</v>
      </c>
      <c r="B317" s="1" t="s">
        <v>2505</v>
      </c>
      <c r="C317" s="1" t="str">
        <f>"竹原市忠海中町2-1-40"</f>
        <v>竹原市忠海中町2-1-40</v>
      </c>
      <c r="D317" s="1" t="s">
        <v>2506</v>
      </c>
      <c r="E317" s="3">
        <v>46721</v>
      </c>
      <c r="F317" s="2"/>
    </row>
    <row r="318" spans="1:6" ht="24.95" customHeight="1" x14ac:dyDescent="0.4">
      <c r="A318" s="2" t="s">
        <v>1975</v>
      </c>
      <c r="B318" s="1" t="s">
        <v>1835</v>
      </c>
      <c r="C318" s="1" t="str">
        <f>"竹原市忠海中町2-2-45"</f>
        <v>竹原市忠海中町2-2-45</v>
      </c>
      <c r="D318" s="1" t="s">
        <v>30</v>
      </c>
      <c r="E318" s="3">
        <v>47087</v>
      </c>
      <c r="F318" s="2"/>
    </row>
    <row r="319" spans="1:6" ht="24.95" customHeight="1" x14ac:dyDescent="0.4">
      <c r="A319" s="2" t="s">
        <v>1617</v>
      </c>
      <c r="B319" s="1" t="s">
        <v>1835</v>
      </c>
      <c r="C319" s="1" t="str">
        <f>"竹原市忠海中町2-2-45"</f>
        <v>竹原市忠海中町2-2-45</v>
      </c>
      <c r="D319" s="1" t="s">
        <v>30</v>
      </c>
      <c r="E319" s="3">
        <v>46356</v>
      </c>
      <c r="F319" s="2"/>
    </row>
    <row r="320" spans="1:6" ht="24.95" customHeight="1" x14ac:dyDescent="0.4">
      <c r="A320" s="2" t="s">
        <v>2379</v>
      </c>
      <c r="B320" s="1" t="s">
        <v>2380</v>
      </c>
      <c r="C320" s="1" t="str">
        <f>"三原市円一町1-1-2-2"</f>
        <v>三原市円一町1-1-2-2</v>
      </c>
      <c r="D320" s="1" t="s">
        <v>88</v>
      </c>
      <c r="E320" s="3">
        <v>45626</v>
      </c>
      <c r="F320" s="2"/>
    </row>
    <row r="321" spans="1:6" ht="24.95" customHeight="1" x14ac:dyDescent="0.4">
      <c r="A321" s="2" t="s">
        <v>604</v>
      </c>
      <c r="B321" s="1" t="s">
        <v>2324</v>
      </c>
      <c r="C321" s="1" t="str">
        <f>"三原市円一町1-1-2-2"</f>
        <v>三原市円一町1-1-2-2</v>
      </c>
      <c r="D321" s="1" t="s">
        <v>67</v>
      </c>
      <c r="E321" s="3">
        <v>45991</v>
      </c>
      <c r="F321" s="2"/>
    </row>
    <row r="322" spans="1:6" ht="24.95" customHeight="1" x14ac:dyDescent="0.4">
      <c r="A322" s="2" t="s">
        <v>2097</v>
      </c>
      <c r="B322" s="1" t="s">
        <v>2098</v>
      </c>
      <c r="C322" s="1" t="str">
        <f>"三原市円一町1-1-7フジグラン三原"</f>
        <v>三原市円一町1-1-7フジグラン三原</v>
      </c>
      <c r="D322" s="1" t="s">
        <v>104</v>
      </c>
      <c r="E322" s="3">
        <v>47087</v>
      </c>
      <c r="F322" s="2"/>
    </row>
    <row r="323" spans="1:6" ht="24.95" customHeight="1" x14ac:dyDescent="0.4">
      <c r="A323" s="2" t="s">
        <v>429</v>
      </c>
      <c r="B323" s="1" t="s">
        <v>822</v>
      </c>
      <c r="C323" s="1" t="str">
        <f t="shared" ref="C323:C338" si="8">"三原市円一町2-5-1"</f>
        <v>三原市円一町2-5-1</v>
      </c>
      <c r="D323" s="1" t="s">
        <v>576</v>
      </c>
      <c r="E323" s="3">
        <v>47087</v>
      </c>
      <c r="F323" s="2"/>
    </row>
    <row r="324" spans="1:6" ht="24.95" customHeight="1" x14ac:dyDescent="0.4">
      <c r="A324" s="2" t="s">
        <v>534</v>
      </c>
      <c r="B324" s="1" t="s">
        <v>822</v>
      </c>
      <c r="C324" s="1" t="str">
        <f t="shared" si="8"/>
        <v>三原市円一町2-5-1</v>
      </c>
      <c r="D324" s="1" t="s">
        <v>67</v>
      </c>
      <c r="E324" s="3">
        <v>47087</v>
      </c>
      <c r="F324" s="2"/>
    </row>
    <row r="325" spans="1:6" ht="24.95" customHeight="1" x14ac:dyDescent="0.4">
      <c r="A325" s="2" t="s">
        <v>843</v>
      </c>
      <c r="B325" s="1" t="s">
        <v>822</v>
      </c>
      <c r="C325" s="1" t="str">
        <f t="shared" si="8"/>
        <v>三原市円一町2-5-1</v>
      </c>
      <c r="D325" s="1" t="s">
        <v>344</v>
      </c>
      <c r="E325" s="3">
        <v>47087</v>
      </c>
      <c r="F325" s="2"/>
    </row>
    <row r="326" spans="1:6" ht="24.95" customHeight="1" x14ac:dyDescent="0.4">
      <c r="A326" s="2" t="s">
        <v>383</v>
      </c>
      <c r="B326" s="1" t="s">
        <v>822</v>
      </c>
      <c r="C326" s="1" t="str">
        <f t="shared" si="8"/>
        <v>三原市円一町2-5-1</v>
      </c>
      <c r="D326" s="1" t="s">
        <v>296</v>
      </c>
      <c r="E326" s="3">
        <v>47087</v>
      </c>
      <c r="F326" s="2"/>
    </row>
    <row r="327" spans="1:6" ht="24.95" customHeight="1" x14ac:dyDescent="0.4">
      <c r="A327" s="2" t="s">
        <v>130</v>
      </c>
      <c r="B327" s="1" t="s">
        <v>822</v>
      </c>
      <c r="C327" s="1" t="str">
        <f t="shared" si="8"/>
        <v>三原市円一町2-5-1</v>
      </c>
      <c r="D327" s="1" t="s">
        <v>531</v>
      </c>
      <c r="E327" s="3">
        <v>47087</v>
      </c>
      <c r="F327" s="2"/>
    </row>
    <row r="328" spans="1:6" ht="24.95" customHeight="1" x14ac:dyDescent="0.4">
      <c r="A328" s="2" t="s">
        <v>844</v>
      </c>
      <c r="B328" s="1" t="s">
        <v>822</v>
      </c>
      <c r="C328" s="1" t="str">
        <f t="shared" si="8"/>
        <v>三原市円一町2-5-1</v>
      </c>
      <c r="D328" s="1" t="s">
        <v>531</v>
      </c>
      <c r="E328" s="3">
        <v>47087</v>
      </c>
      <c r="F328" s="2"/>
    </row>
    <row r="329" spans="1:6" ht="24.95" customHeight="1" x14ac:dyDescent="0.4">
      <c r="A329" s="2" t="s">
        <v>845</v>
      </c>
      <c r="B329" s="1" t="s">
        <v>822</v>
      </c>
      <c r="C329" s="1" t="str">
        <f t="shared" si="8"/>
        <v>三原市円一町2-5-1</v>
      </c>
      <c r="D329" s="1" t="s">
        <v>531</v>
      </c>
      <c r="E329" s="3">
        <v>47087</v>
      </c>
      <c r="F329" s="2"/>
    </row>
    <row r="330" spans="1:6" ht="24.95" customHeight="1" x14ac:dyDescent="0.4">
      <c r="A330" s="2" t="s">
        <v>891</v>
      </c>
      <c r="B330" s="1" t="s">
        <v>822</v>
      </c>
      <c r="C330" s="1" t="str">
        <f t="shared" si="8"/>
        <v>三原市円一町2-5-1</v>
      </c>
      <c r="D330" s="1" t="s">
        <v>892</v>
      </c>
      <c r="E330" s="3">
        <v>46356</v>
      </c>
      <c r="F330" s="2"/>
    </row>
    <row r="331" spans="1:6" ht="24.95" customHeight="1" x14ac:dyDescent="0.4">
      <c r="A331" s="2" t="s">
        <v>583</v>
      </c>
      <c r="B331" s="1" t="s">
        <v>822</v>
      </c>
      <c r="C331" s="1" t="str">
        <f t="shared" si="8"/>
        <v>三原市円一町2-5-1</v>
      </c>
      <c r="D331" s="1" t="s">
        <v>335</v>
      </c>
      <c r="E331" s="3">
        <v>47087</v>
      </c>
      <c r="F331" s="2"/>
    </row>
    <row r="332" spans="1:6" ht="24.95" customHeight="1" x14ac:dyDescent="0.4">
      <c r="A332" s="2" t="s">
        <v>636</v>
      </c>
      <c r="B332" s="1" t="s">
        <v>822</v>
      </c>
      <c r="C332" s="1" t="str">
        <f t="shared" si="8"/>
        <v>三原市円一町2-5-1</v>
      </c>
      <c r="D332" s="1" t="s">
        <v>286</v>
      </c>
      <c r="E332" s="3">
        <v>47087</v>
      </c>
      <c r="F332" s="2"/>
    </row>
    <row r="333" spans="1:6" ht="24.95" customHeight="1" x14ac:dyDescent="0.4">
      <c r="A333" s="2" t="s">
        <v>1239</v>
      </c>
      <c r="B333" s="1" t="s">
        <v>822</v>
      </c>
      <c r="C333" s="1" t="str">
        <f t="shared" si="8"/>
        <v>三原市円一町2-5-1</v>
      </c>
      <c r="D333" s="1" t="s">
        <v>324</v>
      </c>
      <c r="E333" s="3">
        <v>47087</v>
      </c>
      <c r="F333" s="2"/>
    </row>
    <row r="334" spans="1:6" ht="24.95" customHeight="1" x14ac:dyDescent="0.4">
      <c r="A334" s="2" t="s">
        <v>2007</v>
      </c>
      <c r="B334" s="1" t="s">
        <v>822</v>
      </c>
      <c r="C334" s="1" t="str">
        <f t="shared" si="8"/>
        <v>三原市円一町2-5-1</v>
      </c>
      <c r="D334" s="1" t="s">
        <v>122</v>
      </c>
      <c r="E334" s="3">
        <v>47087</v>
      </c>
      <c r="F334" s="2"/>
    </row>
    <row r="335" spans="1:6" ht="24.95" customHeight="1" x14ac:dyDescent="0.4">
      <c r="A335" s="2" t="s">
        <v>1652</v>
      </c>
      <c r="B335" s="1" t="s">
        <v>822</v>
      </c>
      <c r="C335" s="1" t="str">
        <f t="shared" si="8"/>
        <v>三原市円一町2-5-1</v>
      </c>
      <c r="D335" s="1" t="s">
        <v>30</v>
      </c>
      <c r="E335" s="3">
        <v>45626</v>
      </c>
      <c r="F335" s="2"/>
    </row>
    <row r="336" spans="1:6" ht="24.95" customHeight="1" x14ac:dyDescent="0.4">
      <c r="A336" s="2" t="s">
        <v>973</v>
      </c>
      <c r="B336" s="1" t="s">
        <v>822</v>
      </c>
      <c r="C336" s="1" t="str">
        <f t="shared" si="8"/>
        <v>三原市円一町2-5-1</v>
      </c>
      <c r="D336" s="1" t="s">
        <v>88</v>
      </c>
      <c r="E336" s="3">
        <v>45626</v>
      </c>
      <c r="F336" s="2"/>
    </row>
    <row r="337" spans="1:6" ht="24.95" customHeight="1" x14ac:dyDescent="0.4">
      <c r="A337" s="2" t="s">
        <v>1333</v>
      </c>
      <c r="B337" s="1" t="s">
        <v>822</v>
      </c>
      <c r="C337" s="1" t="str">
        <f t="shared" si="8"/>
        <v>三原市円一町2-5-1</v>
      </c>
      <c r="D337" s="1" t="s">
        <v>30</v>
      </c>
      <c r="E337" s="3">
        <v>46721</v>
      </c>
      <c r="F337" s="2"/>
    </row>
    <row r="338" spans="1:6" ht="24.95" customHeight="1" x14ac:dyDescent="0.4">
      <c r="A338" s="2" t="s">
        <v>1378</v>
      </c>
      <c r="B338" s="1" t="s">
        <v>822</v>
      </c>
      <c r="C338" s="1" t="str">
        <f t="shared" si="8"/>
        <v>三原市円一町2-5-1</v>
      </c>
      <c r="D338" s="1" t="s">
        <v>79</v>
      </c>
      <c r="E338" s="3">
        <v>47087</v>
      </c>
      <c r="F338" s="2"/>
    </row>
    <row r="339" spans="1:6" ht="24.95" customHeight="1" x14ac:dyDescent="0.4">
      <c r="A339" s="2" t="s">
        <v>2043</v>
      </c>
      <c r="B339" s="1" t="s">
        <v>860</v>
      </c>
      <c r="C339" s="1" t="str">
        <f t="shared" ref="C339:C344" si="9">"三原市下北方1-7-30"</f>
        <v>三原市下北方1-7-30</v>
      </c>
      <c r="D339" s="1" t="s">
        <v>30</v>
      </c>
      <c r="E339" s="3">
        <v>47087</v>
      </c>
      <c r="F339" s="2"/>
    </row>
    <row r="340" spans="1:6" ht="24.95" customHeight="1" x14ac:dyDescent="0.4">
      <c r="A340" s="2" t="s">
        <v>2044</v>
      </c>
      <c r="B340" s="1" t="s">
        <v>860</v>
      </c>
      <c r="C340" s="1" t="str">
        <f t="shared" si="9"/>
        <v>三原市下北方1-7-30</v>
      </c>
      <c r="D340" s="1" t="s">
        <v>531</v>
      </c>
      <c r="E340" s="3">
        <v>47087</v>
      </c>
      <c r="F340" s="2"/>
    </row>
    <row r="341" spans="1:6" ht="24.95" customHeight="1" x14ac:dyDescent="0.4">
      <c r="A341" s="2" t="s">
        <v>363</v>
      </c>
      <c r="B341" s="1" t="s">
        <v>860</v>
      </c>
      <c r="C341" s="1" t="str">
        <f t="shared" si="9"/>
        <v>三原市下北方1-7-30</v>
      </c>
      <c r="D341" s="1" t="s">
        <v>139</v>
      </c>
      <c r="E341" s="3">
        <v>47087</v>
      </c>
      <c r="F341" s="2"/>
    </row>
    <row r="342" spans="1:6" ht="24.95" customHeight="1" x14ac:dyDescent="0.4">
      <c r="A342" s="2" t="s">
        <v>2045</v>
      </c>
      <c r="B342" s="1" t="s">
        <v>860</v>
      </c>
      <c r="C342" s="1" t="str">
        <f t="shared" si="9"/>
        <v>三原市下北方1-7-30</v>
      </c>
      <c r="D342" s="1" t="s">
        <v>531</v>
      </c>
      <c r="E342" s="3">
        <v>47087</v>
      </c>
      <c r="F342" s="2"/>
    </row>
    <row r="343" spans="1:6" ht="24.95" customHeight="1" x14ac:dyDescent="0.4">
      <c r="A343" s="2" t="s">
        <v>2142</v>
      </c>
      <c r="B343" s="1" t="s">
        <v>860</v>
      </c>
      <c r="C343" s="1" t="str">
        <f t="shared" si="9"/>
        <v>三原市下北方1-7-30</v>
      </c>
      <c r="D343" s="1" t="s">
        <v>531</v>
      </c>
      <c r="E343" s="3">
        <v>45991</v>
      </c>
      <c r="F343" s="2"/>
    </row>
    <row r="344" spans="1:6" ht="24.95" customHeight="1" x14ac:dyDescent="0.4">
      <c r="A344" s="2" t="s">
        <v>1939</v>
      </c>
      <c r="B344" s="1" t="s">
        <v>860</v>
      </c>
      <c r="C344" s="1" t="str">
        <f t="shared" si="9"/>
        <v>三原市下北方1-7-30</v>
      </c>
      <c r="D344" s="1" t="s">
        <v>576</v>
      </c>
      <c r="E344" s="3">
        <v>47087</v>
      </c>
      <c r="F344" s="2"/>
    </row>
    <row r="345" spans="1:6" ht="24.95" customHeight="1" x14ac:dyDescent="0.4">
      <c r="A345" s="2" t="s">
        <v>1837</v>
      </c>
      <c r="B345" s="1" t="s">
        <v>2155</v>
      </c>
      <c r="C345" s="1" t="str">
        <f>"三原市皆実3-3-28"</f>
        <v>三原市皆実3-3-28</v>
      </c>
      <c r="D345" s="1"/>
      <c r="E345" s="3">
        <v>45991</v>
      </c>
      <c r="F345" s="2"/>
    </row>
    <row r="346" spans="1:6" ht="24.95" customHeight="1" x14ac:dyDescent="0.4">
      <c r="A346" s="2" t="s">
        <v>688</v>
      </c>
      <c r="B346" s="1" t="s">
        <v>905</v>
      </c>
      <c r="C346" s="1" t="str">
        <f>"三原市学園町1-1"</f>
        <v>三原市学園町1-1</v>
      </c>
      <c r="D346" s="1" t="s">
        <v>79</v>
      </c>
      <c r="E346" s="3">
        <v>47087</v>
      </c>
      <c r="F346" s="2"/>
    </row>
    <row r="347" spans="1:6" ht="24.95" customHeight="1" x14ac:dyDescent="0.4">
      <c r="A347" s="2" t="s">
        <v>1052</v>
      </c>
      <c r="B347" s="1" t="s">
        <v>905</v>
      </c>
      <c r="C347" s="1" t="str">
        <f>"三原市学園町1-1"</f>
        <v>三原市学園町1-1</v>
      </c>
      <c r="D347" s="1" t="s">
        <v>104</v>
      </c>
      <c r="E347" s="3">
        <v>47087</v>
      </c>
      <c r="F347" s="2"/>
    </row>
    <row r="348" spans="1:6" ht="24.95" customHeight="1" x14ac:dyDescent="0.4">
      <c r="A348" s="2" t="s">
        <v>630</v>
      </c>
      <c r="B348" s="1" t="s">
        <v>2645</v>
      </c>
      <c r="C348" s="1" t="str">
        <f>"三原市久井町江木50-1"</f>
        <v>三原市久井町江木50-1</v>
      </c>
      <c r="D348" s="1" t="s">
        <v>192</v>
      </c>
      <c r="E348" s="3">
        <v>47087</v>
      </c>
      <c r="F348" s="2"/>
    </row>
    <row r="349" spans="1:6" ht="24.95" customHeight="1" x14ac:dyDescent="0.4">
      <c r="A349" s="2" t="s">
        <v>1769</v>
      </c>
      <c r="B349" s="1" t="s">
        <v>1091</v>
      </c>
      <c r="C349" s="1" t="str">
        <f t="shared" ref="C349:C354" si="10">"三原市宮浦1-15-1"</f>
        <v>三原市宮浦1-15-1</v>
      </c>
      <c r="D349" s="1" t="s">
        <v>324</v>
      </c>
      <c r="E349" s="3">
        <v>47087</v>
      </c>
      <c r="F349" s="2"/>
    </row>
    <row r="350" spans="1:6" ht="24.95" customHeight="1" x14ac:dyDescent="0.4">
      <c r="A350" s="2" t="s">
        <v>1770</v>
      </c>
      <c r="B350" s="1" t="s">
        <v>1091</v>
      </c>
      <c r="C350" s="1" t="str">
        <f t="shared" si="10"/>
        <v>三原市宮浦1-15-1</v>
      </c>
      <c r="D350" s="1" t="s">
        <v>655</v>
      </c>
      <c r="E350" s="3">
        <v>47087</v>
      </c>
      <c r="F350" s="2"/>
    </row>
    <row r="351" spans="1:6" ht="24.95" customHeight="1" x14ac:dyDescent="0.4">
      <c r="A351" s="2" t="s">
        <v>1771</v>
      </c>
      <c r="B351" s="1" t="s">
        <v>1091</v>
      </c>
      <c r="C351" s="1" t="str">
        <f t="shared" si="10"/>
        <v>三原市宮浦1-15-1</v>
      </c>
      <c r="D351" s="1" t="s">
        <v>794</v>
      </c>
      <c r="E351" s="3">
        <v>47087</v>
      </c>
      <c r="F351" s="2"/>
    </row>
    <row r="352" spans="1:6" ht="24.95" customHeight="1" x14ac:dyDescent="0.4">
      <c r="A352" s="2" t="s">
        <v>2118</v>
      </c>
      <c r="B352" s="1" t="s">
        <v>1091</v>
      </c>
      <c r="C352" s="1" t="str">
        <f t="shared" si="10"/>
        <v>三原市宮浦1-15-1</v>
      </c>
      <c r="D352" s="1" t="s">
        <v>122</v>
      </c>
      <c r="E352" s="3">
        <v>47087</v>
      </c>
      <c r="F352" s="2"/>
    </row>
    <row r="353" spans="1:6" ht="24.95" customHeight="1" x14ac:dyDescent="0.4">
      <c r="A353" s="2" t="s">
        <v>2372</v>
      </c>
      <c r="B353" s="1" t="s">
        <v>1091</v>
      </c>
      <c r="C353" s="1" t="str">
        <f t="shared" si="10"/>
        <v>三原市宮浦1-15-1</v>
      </c>
      <c r="D353" s="1" t="s">
        <v>30</v>
      </c>
      <c r="E353" s="3">
        <v>47087</v>
      </c>
      <c r="F353" s="2"/>
    </row>
    <row r="354" spans="1:6" ht="24.95" customHeight="1" x14ac:dyDescent="0.4">
      <c r="A354" s="2" t="s">
        <v>2336</v>
      </c>
      <c r="B354" s="1" t="s">
        <v>1091</v>
      </c>
      <c r="C354" s="1" t="str">
        <f t="shared" si="10"/>
        <v>三原市宮浦1-15-1</v>
      </c>
      <c r="D354" s="1" t="s">
        <v>122</v>
      </c>
      <c r="E354" s="3">
        <v>45991</v>
      </c>
      <c r="F354" s="2"/>
    </row>
    <row r="355" spans="1:6" ht="24.95" customHeight="1" x14ac:dyDescent="0.4">
      <c r="A355" s="2" t="s">
        <v>1983</v>
      </c>
      <c r="B355" s="1" t="s">
        <v>54</v>
      </c>
      <c r="C355" s="1" t="str">
        <f>"三原市宮浦3-28-18"</f>
        <v>三原市宮浦3-28-18</v>
      </c>
      <c r="D355" s="1" t="s">
        <v>1954</v>
      </c>
      <c r="E355" s="3">
        <v>47087</v>
      </c>
      <c r="F355" s="2"/>
    </row>
    <row r="356" spans="1:6" ht="24.95" customHeight="1" x14ac:dyDescent="0.4">
      <c r="A356" s="2" t="s">
        <v>1078</v>
      </c>
      <c r="B356" s="1" t="s">
        <v>1080</v>
      </c>
      <c r="C356" s="1" t="str">
        <f>"三原市宮浦5-16-23"</f>
        <v>三原市宮浦5-16-23</v>
      </c>
      <c r="D356" s="1" t="s">
        <v>1081</v>
      </c>
      <c r="E356" s="3">
        <v>47087</v>
      </c>
      <c r="F356" s="2"/>
    </row>
    <row r="357" spans="1:6" ht="24.95" customHeight="1" x14ac:dyDescent="0.4">
      <c r="A357" s="2" t="s">
        <v>1231</v>
      </c>
      <c r="B357" s="1" t="s">
        <v>904</v>
      </c>
      <c r="C357" s="1" t="str">
        <f>"三原市宮浦6-7-39"</f>
        <v>三原市宮浦6-7-39</v>
      </c>
      <c r="D357" s="1" t="s">
        <v>139</v>
      </c>
      <c r="E357" s="3">
        <v>47087</v>
      </c>
      <c r="F357" s="2"/>
    </row>
    <row r="358" spans="1:6" ht="24.95" customHeight="1" x14ac:dyDescent="0.4">
      <c r="A358" s="2" t="s">
        <v>1232</v>
      </c>
      <c r="B358" s="1" t="s">
        <v>904</v>
      </c>
      <c r="C358" s="1" t="str">
        <f>"三原市宮浦6-7-39"</f>
        <v>三原市宮浦6-7-39</v>
      </c>
      <c r="D358" s="1" t="s">
        <v>139</v>
      </c>
      <c r="E358" s="3">
        <v>47087</v>
      </c>
      <c r="F358" s="2"/>
    </row>
    <row r="359" spans="1:6" ht="24.95" customHeight="1" x14ac:dyDescent="0.4">
      <c r="A359" s="2" t="s">
        <v>959</v>
      </c>
      <c r="B359" s="1" t="s">
        <v>2151</v>
      </c>
      <c r="C359" s="1" t="str">
        <f>"三原市宮沖2-6-18"</f>
        <v>三原市宮沖2-6-18</v>
      </c>
      <c r="D359" s="1" t="s">
        <v>1679</v>
      </c>
      <c r="E359" s="3">
        <v>47087</v>
      </c>
      <c r="F359" s="2"/>
    </row>
    <row r="360" spans="1:6" ht="24.95" customHeight="1" x14ac:dyDescent="0.4">
      <c r="A360" s="2" t="s">
        <v>1662</v>
      </c>
      <c r="B360" s="1" t="s">
        <v>1663</v>
      </c>
      <c r="C360" s="1" t="str">
        <f>"三原市宮冲5-8-20"</f>
        <v>三原市宮冲5-8-20</v>
      </c>
      <c r="D360" s="1" t="s">
        <v>242</v>
      </c>
      <c r="E360" s="3">
        <v>47087</v>
      </c>
      <c r="F360" s="2"/>
    </row>
    <row r="361" spans="1:6" ht="24.95" customHeight="1" x14ac:dyDescent="0.4">
      <c r="A361" s="2" t="s">
        <v>607</v>
      </c>
      <c r="B361" s="1" t="s">
        <v>793</v>
      </c>
      <c r="C361" s="1" t="str">
        <f>"三原市港町1-3-15"</f>
        <v>三原市港町1-3-15</v>
      </c>
      <c r="D361" s="1" t="s">
        <v>139</v>
      </c>
      <c r="E361" s="3">
        <v>47087</v>
      </c>
      <c r="F361" s="2"/>
    </row>
    <row r="362" spans="1:6" ht="24.95" customHeight="1" x14ac:dyDescent="0.4">
      <c r="A362" s="2" t="s">
        <v>666</v>
      </c>
      <c r="B362" s="1" t="s">
        <v>2260</v>
      </c>
      <c r="C362" s="1" t="str">
        <f>"三原市港町1-6-6"</f>
        <v>三原市港町1-6-6</v>
      </c>
      <c r="D362" s="1" t="s">
        <v>324</v>
      </c>
      <c r="E362" s="3">
        <v>46356</v>
      </c>
      <c r="F362" s="2"/>
    </row>
    <row r="363" spans="1:6" ht="24.95" customHeight="1" x14ac:dyDescent="0.4">
      <c r="A363" s="2" t="s">
        <v>2264</v>
      </c>
      <c r="B363" s="1" t="s">
        <v>2725</v>
      </c>
      <c r="C363" s="1" t="str">
        <f>"三原市宗郷1-3-12"</f>
        <v>三原市宗郷1-3-12</v>
      </c>
      <c r="D363" s="1" t="s">
        <v>30</v>
      </c>
      <c r="E363" s="3">
        <v>46356</v>
      </c>
      <c r="F363" s="2"/>
    </row>
    <row r="364" spans="1:6" ht="24.95" customHeight="1" x14ac:dyDescent="0.4">
      <c r="A364" s="2" t="s">
        <v>2546</v>
      </c>
      <c r="B364" s="1" t="s">
        <v>140</v>
      </c>
      <c r="C364" s="1" t="str">
        <f>"三原市宗郷3-3-3"</f>
        <v>三原市宗郷3-3-3</v>
      </c>
      <c r="D364" s="1" t="s">
        <v>41</v>
      </c>
      <c r="E364" s="3">
        <v>47087</v>
      </c>
      <c r="F364" s="2"/>
    </row>
    <row r="365" spans="1:6" ht="24.95" customHeight="1" x14ac:dyDescent="0.4">
      <c r="A365" s="2" t="s">
        <v>1315</v>
      </c>
      <c r="B365" s="1" t="s">
        <v>1316</v>
      </c>
      <c r="C365" s="1" t="str">
        <f t="shared" ref="C365:C371" si="11">"三原市城町1-14-14"</f>
        <v>三原市城町1-14-14</v>
      </c>
      <c r="D365" s="1" t="s">
        <v>344</v>
      </c>
      <c r="E365" s="3">
        <v>47087</v>
      </c>
      <c r="F365" s="2"/>
    </row>
    <row r="366" spans="1:6" ht="24.95" customHeight="1" x14ac:dyDescent="0.4">
      <c r="A366" s="2" t="s">
        <v>1318</v>
      </c>
      <c r="B366" s="1" t="s">
        <v>1316</v>
      </c>
      <c r="C366" s="1" t="str">
        <f t="shared" si="11"/>
        <v>三原市城町1-14-14</v>
      </c>
      <c r="D366" s="1" t="s">
        <v>324</v>
      </c>
      <c r="E366" s="3">
        <v>47087</v>
      </c>
      <c r="F366" s="2"/>
    </row>
    <row r="367" spans="1:6" ht="24.95" customHeight="1" x14ac:dyDescent="0.4">
      <c r="A367" s="2" t="s">
        <v>1284</v>
      </c>
      <c r="B367" s="1" t="s">
        <v>1316</v>
      </c>
      <c r="C367" s="1" t="str">
        <f t="shared" si="11"/>
        <v>三原市城町1-14-14</v>
      </c>
      <c r="D367" s="1" t="s">
        <v>531</v>
      </c>
      <c r="E367" s="3">
        <v>47087</v>
      </c>
      <c r="F367" s="2"/>
    </row>
    <row r="368" spans="1:6" ht="24.95" customHeight="1" x14ac:dyDescent="0.4">
      <c r="A368" s="2" t="s">
        <v>1321</v>
      </c>
      <c r="B368" s="1" t="s">
        <v>1316</v>
      </c>
      <c r="C368" s="1" t="str">
        <f t="shared" si="11"/>
        <v>三原市城町1-14-14</v>
      </c>
      <c r="D368" s="1" t="s">
        <v>240</v>
      </c>
      <c r="E368" s="3">
        <v>47087</v>
      </c>
      <c r="F368" s="2"/>
    </row>
    <row r="369" spans="1:6" ht="24.95" customHeight="1" x14ac:dyDescent="0.4">
      <c r="A369" s="2" t="s">
        <v>1323</v>
      </c>
      <c r="B369" s="1" t="s">
        <v>513</v>
      </c>
      <c r="C369" s="1" t="str">
        <f t="shared" si="11"/>
        <v>三原市城町1-14-14</v>
      </c>
      <c r="D369" s="1" t="s">
        <v>531</v>
      </c>
      <c r="E369" s="3">
        <v>47087</v>
      </c>
      <c r="F369" s="2"/>
    </row>
    <row r="370" spans="1:6" ht="24.95" customHeight="1" x14ac:dyDescent="0.4">
      <c r="A370" s="2" t="s">
        <v>1699</v>
      </c>
      <c r="B370" s="1" t="s">
        <v>1316</v>
      </c>
      <c r="C370" s="1" t="str">
        <f t="shared" si="11"/>
        <v>三原市城町1-14-14</v>
      </c>
      <c r="D370" s="1" t="s">
        <v>179</v>
      </c>
      <c r="E370" s="3">
        <v>47087</v>
      </c>
      <c r="F370" s="2"/>
    </row>
    <row r="371" spans="1:6" ht="24.95" customHeight="1" x14ac:dyDescent="0.4">
      <c r="A371" s="2" t="s">
        <v>721</v>
      </c>
      <c r="B371" s="1" t="s">
        <v>1316</v>
      </c>
      <c r="C371" s="1" t="str">
        <f t="shared" si="11"/>
        <v>三原市城町1-14-14</v>
      </c>
      <c r="D371" s="1" t="s">
        <v>1027</v>
      </c>
      <c r="E371" s="3">
        <v>47087</v>
      </c>
      <c r="F371" s="2"/>
    </row>
    <row r="372" spans="1:6" ht="24.95" customHeight="1" x14ac:dyDescent="0.4">
      <c r="A372" s="2" t="s">
        <v>1752</v>
      </c>
      <c r="B372" s="1" t="s">
        <v>629</v>
      </c>
      <c r="C372" s="1" t="str">
        <f>"三原市城町1-20-25"</f>
        <v>三原市城町1-20-25</v>
      </c>
      <c r="D372" s="1" t="s">
        <v>296</v>
      </c>
      <c r="E372" s="3">
        <v>46721</v>
      </c>
      <c r="F372" s="2"/>
    </row>
    <row r="373" spans="1:6" ht="24.95" customHeight="1" x14ac:dyDescent="0.4">
      <c r="A373" s="2" t="s">
        <v>684</v>
      </c>
      <c r="B373" s="1" t="s">
        <v>479</v>
      </c>
      <c r="C373" s="1" t="str">
        <f>"三原市城町2-2-1-2F"</f>
        <v>三原市城町2-2-1-2F</v>
      </c>
      <c r="D373" s="1" t="s">
        <v>203</v>
      </c>
      <c r="E373" s="3">
        <v>47087</v>
      </c>
      <c r="F373" s="2"/>
    </row>
    <row r="374" spans="1:6" ht="24.95" customHeight="1" x14ac:dyDescent="0.4">
      <c r="A374" s="2" t="s">
        <v>786</v>
      </c>
      <c r="B374" s="1" t="s">
        <v>1390</v>
      </c>
      <c r="C374" s="1" t="str">
        <f t="shared" ref="C374:C379" si="12">"三原市城町3-7-1"</f>
        <v>三原市城町3-7-1</v>
      </c>
      <c r="D374" s="5" t="s">
        <v>1209</v>
      </c>
      <c r="E374" s="3">
        <v>47087</v>
      </c>
      <c r="F374" s="2"/>
    </row>
    <row r="375" spans="1:6" ht="24.95" customHeight="1" x14ac:dyDescent="0.4">
      <c r="A375" s="2" t="s">
        <v>1392</v>
      </c>
      <c r="B375" s="1" t="s">
        <v>1390</v>
      </c>
      <c r="C375" s="1" t="str">
        <f t="shared" si="12"/>
        <v>三原市城町3-7-1</v>
      </c>
      <c r="D375" s="5" t="s">
        <v>1393</v>
      </c>
      <c r="E375" s="3">
        <v>47087</v>
      </c>
      <c r="F375" s="2"/>
    </row>
    <row r="376" spans="1:6" ht="24.95" customHeight="1" x14ac:dyDescent="0.4">
      <c r="A376" s="2" t="s">
        <v>1394</v>
      </c>
      <c r="B376" s="1" t="s">
        <v>1390</v>
      </c>
      <c r="C376" s="1" t="str">
        <f t="shared" si="12"/>
        <v>三原市城町3-7-1</v>
      </c>
      <c r="D376" s="5" t="s">
        <v>1393</v>
      </c>
      <c r="E376" s="3">
        <v>47087</v>
      </c>
      <c r="F376" s="2"/>
    </row>
    <row r="377" spans="1:6" ht="24.95" customHeight="1" x14ac:dyDescent="0.4">
      <c r="A377" s="2" t="s">
        <v>1830</v>
      </c>
      <c r="B377" s="1" t="s">
        <v>1390</v>
      </c>
      <c r="C377" s="1" t="str">
        <f t="shared" si="12"/>
        <v>三原市城町3-7-1</v>
      </c>
      <c r="D377" s="1" t="s">
        <v>41</v>
      </c>
      <c r="E377" s="3">
        <v>47087</v>
      </c>
      <c r="F377" s="2"/>
    </row>
    <row r="378" spans="1:6" ht="24.95" customHeight="1" x14ac:dyDescent="0.4">
      <c r="A378" s="2" t="s">
        <v>1905</v>
      </c>
      <c r="B378" s="1" t="s">
        <v>1390</v>
      </c>
      <c r="C378" s="1" t="str">
        <f t="shared" si="12"/>
        <v>三原市城町3-7-1</v>
      </c>
      <c r="D378" s="1" t="s">
        <v>279</v>
      </c>
      <c r="E378" s="3">
        <v>47087</v>
      </c>
      <c r="F378" s="2"/>
    </row>
    <row r="379" spans="1:6" ht="24.95" customHeight="1" x14ac:dyDescent="0.4">
      <c r="A379" s="2" t="s">
        <v>1493</v>
      </c>
      <c r="B379" s="1" t="s">
        <v>1390</v>
      </c>
      <c r="C379" s="1" t="str">
        <f t="shared" si="12"/>
        <v>三原市城町3-7-1</v>
      </c>
      <c r="D379" s="5" t="s">
        <v>2601</v>
      </c>
      <c r="E379" s="3">
        <v>47087</v>
      </c>
      <c r="F379" s="2"/>
    </row>
    <row r="380" spans="1:6" ht="24.95" customHeight="1" x14ac:dyDescent="0.4">
      <c r="A380" s="2" t="s">
        <v>377</v>
      </c>
      <c r="B380" s="1" t="s">
        <v>619</v>
      </c>
      <c r="C380" s="1" t="str">
        <f>"三原市須波ハイツ2-3-10"</f>
        <v>三原市須波ハイツ2-3-10</v>
      </c>
      <c r="D380" s="1" t="s">
        <v>531</v>
      </c>
      <c r="E380" s="3">
        <v>47087</v>
      </c>
      <c r="F380" s="2"/>
    </row>
    <row r="381" spans="1:6" ht="24.95" customHeight="1" x14ac:dyDescent="0.4">
      <c r="A381" s="2" t="s">
        <v>1621</v>
      </c>
      <c r="B381" s="1" t="s">
        <v>1623</v>
      </c>
      <c r="C381" s="1" t="str">
        <f>"三原市西町1-2-63"</f>
        <v>三原市西町1-2-63</v>
      </c>
      <c r="D381" s="1" t="s">
        <v>41</v>
      </c>
      <c r="E381" s="3">
        <v>47087</v>
      </c>
      <c r="F381" s="2"/>
    </row>
    <row r="382" spans="1:6" ht="24.95" customHeight="1" x14ac:dyDescent="0.4">
      <c r="A382" s="2" t="s">
        <v>888</v>
      </c>
      <c r="B382" s="1" t="s">
        <v>32</v>
      </c>
      <c r="C382" s="1" t="str">
        <f>"三原市大和町和木1504-1"</f>
        <v>三原市大和町和木1504-1</v>
      </c>
      <c r="D382" s="1" t="s">
        <v>531</v>
      </c>
      <c r="E382" s="3">
        <v>47087</v>
      </c>
      <c r="F382" s="2"/>
    </row>
    <row r="383" spans="1:6" ht="24.95" customHeight="1" x14ac:dyDescent="0.4">
      <c r="A383" s="2" t="s">
        <v>2407</v>
      </c>
      <c r="B383" s="1" t="s">
        <v>840</v>
      </c>
      <c r="C383" s="1" t="str">
        <f>"三原市中之町6-31-1"</f>
        <v>三原市中之町6-31-1</v>
      </c>
      <c r="D383" s="1" t="s">
        <v>1159</v>
      </c>
      <c r="E383" s="3">
        <v>45991</v>
      </c>
      <c r="F383" s="2"/>
    </row>
    <row r="384" spans="1:6" ht="24.95" customHeight="1" x14ac:dyDescent="0.4">
      <c r="A384" s="2" t="s">
        <v>2449</v>
      </c>
      <c r="B384" s="1" t="s">
        <v>840</v>
      </c>
      <c r="C384" s="1" t="str">
        <f>"三原市中之町6-31-1"</f>
        <v>三原市中之町6-31-1</v>
      </c>
      <c r="D384" s="1" t="s">
        <v>1159</v>
      </c>
      <c r="E384" s="3">
        <v>46356</v>
      </c>
      <c r="F384" s="2"/>
    </row>
    <row r="385" spans="1:6" ht="24.95" customHeight="1" x14ac:dyDescent="0.4">
      <c r="A385" s="2" t="s">
        <v>994</v>
      </c>
      <c r="B385" s="1" t="s">
        <v>1369</v>
      </c>
      <c r="C385" s="1" t="str">
        <f t="shared" ref="C385:C397" si="13">"三原市東町2-7-1"</f>
        <v>三原市東町2-7-1</v>
      </c>
      <c r="D385" s="1" t="s">
        <v>576</v>
      </c>
      <c r="E385" s="3">
        <v>47087</v>
      </c>
      <c r="F385" s="2"/>
    </row>
    <row r="386" spans="1:6" ht="24.95" customHeight="1" x14ac:dyDescent="0.4">
      <c r="A386" s="2" t="s">
        <v>1372</v>
      </c>
      <c r="B386" s="1" t="s">
        <v>1369</v>
      </c>
      <c r="C386" s="1" t="str">
        <f t="shared" si="13"/>
        <v>三原市東町2-7-1</v>
      </c>
      <c r="D386" s="1" t="s">
        <v>531</v>
      </c>
      <c r="E386" s="3">
        <v>47087</v>
      </c>
      <c r="F386" s="2"/>
    </row>
    <row r="387" spans="1:6" ht="24.95" customHeight="1" x14ac:dyDescent="0.4">
      <c r="A387" s="2" t="s">
        <v>358</v>
      </c>
      <c r="B387" s="1" t="s">
        <v>1369</v>
      </c>
      <c r="C387" s="1" t="str">
        <f t="shared" si="13"/>
        <v>三原市東町2-7-1</v>
      </c>
      <c r="D387" s="1" t="s">
        <v>30</v>
      </c>
      <c r="E387" s="3">
        <v>47087</v>
      </c>
      <c r="F387" s="2"/>
    </row>
    <row r="388" spans="1:6" ht="24.95" customHeight="1" x14ac:dyDescent="0.4">
      <c r="A388" s="2" t="s">
        <v>1638</v>
      </c>
      <c r="B388" s="1" t="s">
        <v>1369</v>
      </c>
      <c r="C388" s="1" t="str">
        <f t="shared" si="13"/>
        <v>三原市東町2-7-1</v>
      </c>
      <c r="D388" s="1" t="s">
        <v>30</v>
      </c>
      <c r="E388" s="3">
        <v>47087</v>
      </c>
      <c r="F388" s="2"/>
    </row>
    <row r="389" spans="1:6" ht="24.95" customHeight="1" x14ac:dyDescent="0.4">
      <c r="A389" s="2" t="s">
        <v>1869</v>
      </c>
      <c r="B389" s="1" t="s">
        <v>1369</v>
      </c>
      <c r="C389" s="1" t="str">
        <f t="shared" si="13"/>
        <v>三原市東町2-7-1</v>
      </c>
      <c r="D389" s="1" t="s">
        <v>30</v>
      </c>
      <c r="E389" s="3">
        <v>47087</v>
      </c>
      <c r="F389" s="2"/>
    </row>
    <row r="390" spans="1:6" ht="24.95" customHeight="1" x14ac:dyDescent="0.4">
      <c r="A390" s="2" t="s">
        <v>1158</v>
      </c>
      <c r="B390" s="1" t="s">
        <v>1369</v>
      </c>
      <c r="C390" s="1" t="str">
        <f t="shared" si="13"/>
        <v>三原市東町2-7-1</v>
      </c>
      <c r="D390" s="1" t="s">
        <v>30</v>
      </c>
      <c r="E390" s="3">
        <v>47087</v>
      </c>
      <c r="F390" s="2"/>
    </row>
    <row r="391" spans="1:6" ht="24.95" customHeight="1" x14ac:dyDescent="0.4">
      <c r="A391" s="2" t="s">
        <v>1013</v>
      </c>
      <c r="B391" s="1" t="s">
        <v>1369</v>
      </c>
      <c r="C391" s="1" t="str">
        <f t="shared" si="13"/>
        <v>三原市東町2-7-1</v>
      </c>
      <c r="D391" s="1" t="s">
        <v>104</v>
      </c>
      <c r="E391" s="3">
        <v>47087</v>
      </c>
      <c r="F391" s="2"/>
    </row>
    <row r="392" spans="1:6" ht="24.95" customHeight="1" x14ac:dyDescent="0.4">
      <c r="A392" s="2" t="s">
        <v>1739</v>
      </c>
      <c r="B392" s="1" t="s">
        <v>1369</v>
      </c>
      <c r="C392" s="1" t="str">
        <f t="shared" si="13"/>
        <v>三原市東町2-7-1</v>
      </c>
      <c r="D392" s="1" t="s">
        <v>324</v>
      </c>
      <c r="E392" s="3">
        <v>45991</v>
      </c>
      <c r="F392" s="2"/>
    </row>
    <row r="393" spans="1:6" ht="24.95" customHeight="1" x14ac:dyDescent="0.4">
      <c r="A393" s="2" t="s">
        <v>2447</v>
      </c>
      <c r="B393" s="1" t="s">
        <v>1369</v>
      </c>
      <c r="C393" s="1" t="str">
        <f t="shared" si="13"/>
        <v>三原市東町2-7-1</v>
      </c>
      <c r="D393" s="1" t="s">
        <v>88</v>
      </c>
      <c r="E393" s="3">
        <v>46356</v>
      </c>
      <c r="F393" s="2"/>
    </row>
    <row r="394" spans="1:6" ht="24.95" customHeight="1" x14ac:dyDescent="0.4">
      <c r="A394" s="2" t="s">
        <v>2259</v>
      </c>
      <c r="B394" s="1" t="s">
        <v>1369</v>
      </c>
      <c r="C394" s="1" t="str">
        <f t="shared" si="13"/>
        <v>三原市東町2-7-1</v>
      </c>
      <c r="D394" s="1" t="s">
        <v>324</v>
      </c>
      <c r="E394" s="3">
        <v>46356</v>
      </c>
      <c r="F394" s="2"/>
    </row>
    <row r="395" spans="1:6" ht="24.95" customHeight="1" x14ac:dyDescent="0.4">
      <c r="A395" s="2" t="s">
        <v>2448</v>
      </c>
      <c r="B395" s="1" t="s">
        <v>1369</v>
      </c>
      <c r="C395" s="1" t="str">
        <f t="shared" si="13"/>
        <v>三原市東町2-7-1</v>
      </c>
      <c r="D395" s="1" t="s">
        <v>324</v>
      </c>
      <c r="E395" s="3">
        <v>46356</v>
      </c>
      <c r="F395" s="2"/>
    </row>
    <row r="396" spans="1:6" ht="24.95" customHeight="1" x14ac:dyDescent="0.4">
      <c r="A396" s="2" t="s">
        <v>2147</v>
      </c>
      <c r="B396" s="1" t="s">
        <v>1369</v>
      </c>
      <c r="C396" s="1" t="str">
        <f t="shared" si="13"/>
        <v>三原市東町2-7-1</v>
      </c>
      <c r="D396" s="1" t="s">
        <v>139</v>
      </c>
      <c r="E396" s="3">
        <v>46721</v>
      </c>
      <c r="F396" s="2"/>
    </row>
    <row r="397" spans="1:6" ht="24.95" customHeight="1" x14ac:dyDescent="0.4">
      <c r="A397" s="2" t="s">
        <v>2642</v>
      </c>
      <c r="B397" s="1" t="s">
        <v>1369</v>
      </c>
      <c r="C397" s="1" t="str">
        <f t="shared" si="13"/>
        <v>三原市東町2-7-1</v>
      </c>
      <c r="D397" s="1" t="s">
        <v>30</v>
      </c>
      <c r="E397" s="3">
        <v>47087</v>
      </c>
      <c r="F397" s="2"/>
    </row>
    <row r="398" spans="1:6" ht="24.95" customHeight="1" x14ac:dyDescent="0.4">
      <c r="A398" s="2" t="s">
        <v>2689</v>
      </c>
      <c r="B398" s="1" t="s">
        <v>2690</v>
      </c>
      <c r="C398" s="1" t="str">
        <f>"三原市本郷南5-19-15"</f>
        <v>三原市本郷南5-19-15</v>
      </c>
      <c r="D398" s="1" t="s">
        <v>1365</v>
      </c>
      <c r="E398" s="3">
        <v>47087</v>
      </c>
      <c r="F398" s="2"/>
    </row>
    <row r="399" spans="1:6" ht="24.95" customHeight="1" x14ac:dyDescent="0.4">
      <c r="A399" s="2" t="s">
        <v>2563</v>
      </c>
      <c r="B399" s="1" t="s">
        <v>11</v>
      </c>
      <c r="C399" s="1" t="str">
        <f>"三原市本郷南6-21-3"</f>
        <v>三原市本郷南6-21-3</v>
      </c>
      <c r="D399" s="1" t="s">
        <v>30</v>
      </c>
      <c r="E399" s="3">
        <v>47087</v>
      </c>
      <c r="F399" s="2"/>
    </row>
    <row r="400" spans="1:6" ht="24.95" customHeight="1" x14ac:dyDescent="0.4">
      <c r="A400" s="2" t="s">
        <v>14</v>
      </c>
      <c r="B400" s="1" t="s">
        <v>178</v>
      </c>
      <c r="C400" s="1" t="str">
        <f>"三原市本郷南7-15-13"</f>
        <v>三原市本郷南7-15-13</v>
      </c>
      <c r="D400" s="1" t="s">
        <v>30</v>
      </c>
      <c r="E400" s="3">
        <v>47087</v>
      </c>
      <c r="F400" s="2"/>
    </row>
    <row r="401" spans="1:6" ht="24.95" customHeight="1" x14ac:dyDescent="0.4">
      <c r="A401" s="2" t="s">
        <v>1553</v>
      </c>
      <c r="B401" s="1" t="s">
        <v>2214</v>
      </c>
      <c r="C401" s="1" t="str">
        <f>"三原市本町1-9-12"</f>
        <v>三原市本町1-9-12</v>
      </c>
      <c r="D401" s="1" t="s">
        <v>242</v>
      </c>
      <c r="E401" s="3">
        <v>45991</v>
      </c>
      <c r="F401" s="2"/>
    </row>
    <row r="402" spans="1:6" ht="24.95" customHeight="1" x14ac:dyDescent="0.4">
      <c r="A402" s="2" t="s">
        <v>504</v>
      </c>
      <c r="B402" s="1" t="s">
        <v>490</v>
      </c>
      <c r="C402" s="1" t="str">
        <f>"三原市明神2-11-7"</f>
        <v>三原市明神2-11-7</v>
      </c>
      <c r="D402" s="1" t="s">
        <v>242</v>
      </c>
      <c r="E402" s="3">
        <v>47087</v>
      </c>
      <c r="F402" s="2"/>
    </row>
    <row r="403" spans="1:6" ht="24.95" customHeight="1" x14ac:dyDescent="0.4">
      <c r="A403" s="2" t="s">
        <v>2120</v>
      </c>
      <c r="B403" s="1" t="s">
        <v>2533</v>
      </c>
      <c r="C403" s="1" t="str">
        <f>"三原市頼兼1-1-6"</f>
        <v>三原市頼兼1-1-6</v>
      </c>
      <c r="D403" s="1" t="s">
        <v>67</v>
      </c>
      <c r="E403" s="3">
        <v>47087</v>
      </c>
      <c r="F403" s="2"/>
    </row>
    <row r="404" spans="1:6" ht="24.95" customHeight="1" x14ac:dyDescent="0.4">
      <c r="A404" s="2" t="s">
        <v>1613</v>
      </c>
      <c r="B404" s="1" t="s">
        <v>864</v>
      </c>
      <c r="C404" s="1" t="s">
        <v>1614</v>
      </c>
      <c r="D404" s="1" t="s">
        <v>88</v>
      </c>
      <c r="E404" s="3">
        <v>47087</v>
      </c>
      <c r="F404" s="2"/>
    </row>
    <row r="405" spans="1:6" ht="24.95" customHeight="1" x14ac:dyDescent="0.4">
      <c r="A405" s="2" t="s">
        <v>1824</v>
      </c>
      <c r="B405" s="1" t="s">
        <v>864</v>
      </c>
      <c r="C405" s="1" t="s">
        <v>1614</v>
      </c>
      <c r="D405" s="1" t="s">
        <v>324</v>
      </c>
      <c r="E405" s="3">
        <v>47087</v>
      </c>
      <c r="F405" s="2"/>
    </row>
    <row r="406" spans="1:6" ht="24.95" customHeight="1" x14ac:dyDescent="0.4">
      <c r="A406" s="2" t="s">
        <v>1476</v>
      </c>
      <c r="B406" s="1" t="s">
        <v>864</v>
      </c>
      <c r="C406" s="1" t="s">
        <v>1614</v>
      </c>
      <c r="D406" s="1" t="s">
        <v>181</v>
      </c>
      <c r="E406" s="3">
        <v>47087</v>
      </c>
      <c r="F406" s="2"/>
    </row>
    <row r="407" spans="1:6" ht="24.95" customHeight="1" x14ac:dyDescent="0.4">
      <c r="A407" s="2" t="s">
        <v>2243</v>
      </c>
      <c r="B407" s="1" t="s">
        <v>864</v>
      </c>
      <c r="C407" s="1" t="s">
        <v>1614</v>
      </c>
      <c r="D407" s="1" t="s">
        <v>220</v>
      </c>
      <c r="E407" s="3">
        <v>46356</v>
      </c>
      <c r="F407" s="2"/>
    </row>
    <row r="408" spans="1:6" ht="24.95" customHeight="1" x14ac:dyDescent="0.4">
      <c r="A408" s="2" t="s">
        <v>910</v>
      </c>
      <c r="B408" s="1" t="s">
        <v>1188</v>
      </c>
      <c r="C408" s="1" t="s">
        <v>1848</v>
      </c>
      <c r="D408" s="1" t="s">
        <v>30</v>
      </c>
      <c r="E408" s="3">
        <v>47087</v>
      </c>
      <c r="F408" s="2"/>
    </row>
    <row r="409" spans="1:6" ht="24.95" customHeight="1" x14ac:dyDescent="0.4">
      <c r="A409" s="2" t="s">
        <v>1448</v>
      </c>
      <c r="B409" s="1" t="s">
        <v>1449</v>
      </c>
      <c r="C409" s="1" t="str">
        <f>"尾道市因島田熊町1140-1"</f>
        <v>尾道市因島田熊町1140-1</v>
      </c>
      <c r="D409" s="1" t="s">
        <v>794</v>
      </c>
      <c r="E409" s="3">
        <v>47087</v>
      </c>
      <c r="F409" s="2"/>
    </row>
    <row r="410" spans="1:6" ht="24.95" customHeight="1" x14ac:dyDescent="0.4">
      <c r="A410" s="2" t="s">
        <v>985</v>
      </c>
      <c r="B410" s="1" t="s">
        <v>736</v>
      </c>
      <c r="C410" s="1" t="str">
        <f>"尾道市因島土生町1809-34"</f>
        <v>尾道市因島土生町1809-34</v>
      </c>
      <c r="D410" s="1" t="s">
        <v>193</v>
      </c>
      <c r="E410" s="3">
        <v>47087</v>
      </c>
      <c r="F410" s="2"/>
    </row>
    <row r="411" spans="1:6" ht="24.95" customHeight="1" x14ac:dyDescent="0.4">
      <c r="A411" s="2" t="s">
        <v>247</v>
      </c>
      <c r="B411" s="1" t="s">
        <v>632</v>
      </c>
      <c r="C411" s="1" t="s">
        <v>76</v>
      </c>
      <c r="D411" s="1" t="s">
        <v>139</v>
      </c>
      <c r="E411" s="3">
        <v>47087</v>
      </c>
      <c r="F411" s="2"/>
    </row>
    <row r="412" spans="1:6" ht="24.95" customHeight="1" x14ac:dyDescent="0.4">
      <c r="A412" s="2" t="s">
        <v>467</v>
      </c>
      <c r="B412" s="1" t="s">
        <v>2686</v>
      </c>
      <c r="C412" s="1" t="str">
        <f>"尾道市因島土生町2023-5"</f>
        <v>尾道市因島土生町2023-5</v>
      </c>
      <c r="D412" s="1" t="s">
        <v>2687</v>
      </c>
      <c r="E412" s="3">
        <v>47087</v>
      </c>
      <c r="F412" s="2"/>
    </row>
    <row r="413" spans="1:6" ht="24.95" customHeight="1" x14ac:dyDescent="0.4">
      <c r="A413" s="2" t="s">
        <v>1370</v>
      </c>
      <c r="B413" s="1" t="s">
        <v>1371</v>
      </c>
      <c r="C413" s="1" t="s">
        <v>755</v>
      </c>
      <c r="D413" s="1" t="s">
        <v>324</v>
      </c>
      <c r="E413" s="3">
        <v>47087</v>
      </c>
      <c r="F413" s="2"/>
    </row>
    <row r="414" spans="1:6" ht="24.95" customHeight="1" x14ac:dyDescent="0.4">
      <c r="A414" s="2" t="s">
        <v>1115</v>
      </c>
      <c r="B414" s="1" t="s">
        <v>1371</v>
      </c>
      <c r="C414" s="1" t="s">
        <v>755</v>
      </c>
      <c r="D414" s="1" t="s">
        <v>30</v>
      </c>
      <c r="E414" s="3">
        <v>47087</v>
      </c>
      <c r="F414" s="2"/>
    </row>
    <row r="415" spans="1:6" ht="24.95" customHeight="1" x14ac:dyDescent="0.4">
      <c r="A415" s="2" t="s">
        <v>1867</v>
      </c>
      <c r="B415" s="1" t="s">
        <v>1371</v>
      </c>
      <c r="C415" s="1" t="s">
        <v>755</v>
      </c>
      <c r="D415" s="1" t="s">
        <v>30</v>
      </c>
      <c r="E415" s="3">
        <v>47087</v>
      </c>
      <c r="F415" s="2"/>
    </row>
    <row r="416" spans="1:6" ht="24.95" customHeight="1" x14ac:dyDescent="0.4">
      <c r="A416" s="2" t="s">
        <v>1464</v>
      </c>
      <c r="B416" s="1" t="s">
        <v>1371</v>
      </c>
      <c r="C416" s="1" t="s">
        <v>755</v>
      </c>
      <c r="D416" s="1" t="s">
        <v>30</v>
      </c>
      <c r="E416" s="3">
        <v>46721</v>
      </c>
      <c r="F416" s="2"/>
    </row>
    <row r="417" spans="1:6" ht="24.95" customHeight="1" x14ac:dyDescent="0.4">
      <c r="A417" s="2" t="s">
        <v>2515</v>
      </c>
      <c r="B417" s="1" t="s">
        <v>1371</v>
      </c>
      <c r="C417" s="1" t="s">
        <v>755</v>
      </c>
      <c r="D417" s="1" t="s">
        <v>324</v>
      </c>
      <c r="E417" s="3">
        <v>47087</v>
      </c>
      <c r="F417" s="2"/>
    </row>
    <row r="418" spans="1:6" ht="24.95" customHeight="1" x14ac:dyDescent="0.4">
      <c r="A418" s="2" t="s">
        <v>2613</v>
      </c>
      <c r="B418" s="1" t="s">
        <v>1371</v>
      </c>
      <c r="C418" s="1" t="s">
        <v>755</v>
      </c>
      <c r="D418" s="1" t="s">
        <v>30</v>
      </c>
      <c r="E418" s="3">
        <v>47087</v>
      </c>
      <c r="F418" s="2"/>
    </row>
    <row r="419" spans="1:6" ht="24.95" customHeight="1" x14ac:dyDescent="0.4">
      <c r="A419" s="2" t="s">
        <v>738</v>
      </c>
      <c r="B419" s="1" t="s">
        <v>1371</v>
      </c>
      <c r="C419" s="1" t="s">
        <v>755</v>
      </c>
      <c r="D419" s="1" t="s">
        <v>30</v>
      </c>
      <c r="E419" s="3">
        <v>47087</v>
      </c>
      <c r="F419" s="2"/>
    </row>
    <row r="420" spans="1:6" ht="24.95" customHeight="1" x14ac:dyDescent="0.4">
      <c r="A420" s="2" t="s">
        <v>2047</v>
      </c>
      <c r="B420" s="1" t="s">
        <v>1657</v>
      </c>
      <c r="C420" s="1" t="s">
        <v>2048</v>
      </c>
      <c r="D420" s="1" t="s">
        <v>30</v>
      </c>
      <c r="E420" s="3">
        <v>47087</v>
      </c>
      <c r="F420" s="2"/>
    </row>
    <row r="421" spans="1:6" ht="24.95" customHeight="1" x14ac:dyDescent="0.4">
      <c r="A421" s="2" t="s">
        <v>2083</v>
      </c>
      <c r="B421" s="1" t="s">
        <v>2086</v>
      </c>
      <c r="C421" s="1" t="str">
        <f>"尾道市沖側町12-35"</f>
        <v>尾道市沖側町12-35</v>
      </c>
      <c r="D421" s="1" t="s">
        <v>279</v>
      </c>
      <c r="E421" s="3">
        <v>47087</v>
      </c>
      <c r="F421" s="2"/>
    </row>
    <row r="422" spans="1:6" ht="24.95" customHeight="1" x14ac:dyDescent="0.4">
      <c r="A422" s="2" t="s">
        <v>2534</v>
      </c>
      <c r="B422" s="1" t="s">
        <v>2535</v>
      </c>
      <c r="C422" s="1" t="str">
        <f>"尾道市久保1-1-15"</f>
        <v>尾道市久保1-1-15</v>
      </c>
      <c r="D422" s="1" t="s">
        <v>30</v>
      </c>
      <c r="E422" s="3">
        <v>47087</v>
      </c>
      <c r="F422" s="2"/>
    </row>
    <row r="423" spans="1:6" ht="24.95" customHeight="1" x14ac:dyDescent="0.4">
      <c r="A423" s="2" t="s">
        <v>155</v>
      </c>
      <c r="B423" s="1" t="s">
        <v>157</v>
      </c>
      <c r="C423" s="1" t="str">
        <f>"尾道市久保1-2-12"</f>
        <v>尾道市久保1-2-12</v>
      </c>
      <c r="D423" s="1" t="s">
        <v>104</v>
      </c>
      <c r="E423" s="3">
        <v>47087</v>
      </c>
      <c r="F423" s="2"/>
    </row>
    <row r="424" spans="1:6" ht="24.95" customHeight="1" x14ac:dyDescent="0.4">
      <c r="A424" s="2" t="s">
        <v>704</v>
      </c>
      <c r="B424" s="1" t="s">
        <v>1203</v>
      </c>
      <c r="C424" s="1" t="str">
        <f>"尾道市久保1-2-4"</f>
        <v>尾道市久保1-2-4</v>
      </c>
      <c r="D424" s="1" t="s">
        <v>30</v>
      </c>
      <c r="E424" s="3">
        <v>47087</v>
      </c>
      <c r="F424" s="2"/>
    </row>
    <row r="425" spans="1:6" ht="24.95" customHeight="1" x14ac:dyDescent="0.4">
      <c r="A425" s="2" t="s">
        <v>2750</v>
      </c>
      <c r="B425" s="1" t="s">
        <v>1203</v>
      </c>
      <c r="C425" s="1" t="str">
        <f>"尾道市久保1-2-4"</f>
        <v>尾道市久保1-2-4</v>
      </c>
      <c r="D425" s="1" t="s">
        <v>139</v>
      </c>
      <c r="E425" s="3">
        <v>45991</v>
      </c>
      <c r="F425" s="2"/>
    </row>
    <row r="426" spans="1:6" ht="24.95" customHeight="1" x14ac:dyDescent="0.4">
      <c r="A426" s="2" t="s">
        <v>1291</v>
      </c>
      <c r="B426" s="1" t="s">
        <v>2638</v>
      </c>
      <c r="C426" s="1" t="str">
        <f>"尾道市久保1-3-19"</f>
        <v>尾道市久保1-3-19</v>
      </c>
      <c r="D426" s="1" t="s">
        <v>2639</v>
      </c>
      <c r="E426" s="3">
        <v>47087</v>
      </c>
      <c r="F426" s="2"/>
    </row>
    <row r="427" spans="1:6" ht="24.95" customHeight="1" x14ac:dyDescent="0.4">
      <c r="A427" s="2" t="s">
        <v>1891</v>
      </c>
      <c r="B427" s="1" t="s">
        <v>2638</v>
      </c>
      <c r="C427" s="1" t="str">
        <f>"尾道市久保1-3-19"</f>
        <v>尾道市久保1-3-19</v>
      </c>
      <c r="D427" s="1" t="s">
        <v>30</v>
      </c>
      <c r="E427" s="3">
        <v>47087</v>
      </c>
      <c r="F427" s="2"/>
    </row>
    <row r="428" spans="1:6" ht="24.95" customHeight="1" x14ac:dyDescent="0.4">
      <c r="A428" s="2" t="s">
        <v>2568</v>
      </c>
      <c r="B428" s="1" t="s">
        <v>1344</v>
      </c>
      <c r="C428" s="1" t="str">
        <f>"尾道市久保2-5-25"</f>
        <v>尾道市久保2-5-25</v>
      </c>
      <c r="D428" s="1" t="s">
        <v>30</v>
      </c>
      <c r="E428" s="3">
        <v>47087</v>
      </c>
      <c r="F428" s="2"/>
    </row>
    <row r="429" spans="1:6" ht="24.95" customHeight="1" x14ac:dyDescent="0.4">
      <c r="A429" s="2" t="s">
        <v>1795</v>
      </c>
      <c r="B429" s="1" t="s">
        <v>616</v>
      </c>
      <c r="C429" s="1" t="str">
        <f>"尾道市久保3-14-22"</f>
        <v>尾道市久保3-14-22</v>
      </c>
      <c r="D429" s="1" t="s">
        <v>30</v>
      </c>
      <c r="E429" s="3">
        <v>47087</v>
      </c>
      <c r="F429" s="2"/>
    </row>
    <row r="430" spans="1:6" ht="24.95" customHeight="1" x14ac:dyDescent="0.4">
      <c r="A430" s="2" t="s">
        <v>1796</v>
      </c>
      <c r="B430" s="1" t="s">
        <v>616</v>
      </c>
      <c r="C430" s="1" t="str">
        <f>"尾道市久保3-14-22"</f>
        <v>尾道市久保3-14-22</v>
      </c>
      <c r="D430" s="1" t="s">
        <v>30</v>
      </c>
      <c r="E430" s="3">
        <v>47087</v>
      </c>
      <c r="F430" s="2"/>
    </row>
    <row r="431" spans="1:6" ht="24.95" customHeight="1" x14ac:dyDescent="0.4">
      <c r="A431" s="2" t="s">
        <v>2612</v>
      </c>
      <c r="B431" s="1" t="s">
        <v>616</v>
      </c>
      <c r="C431" s="1" t="str">
        <f>"尾道市久保3-14-22"</f>
        <v>尾道市久保3-14-22</v>
      </c>
      <c r="D431" s="1" t="s">
        <v>30</v>
      </c>
      <c r="E431" s="3">
        <v>47087</v>
      </c>
      <c r="F431" s="2"/>
    </row>
    <row r="432" spans="1:6" ht="24.95" customHeight="1" x14ac:dyDescent="0.4">
      <c r="A432" s="2" t="s">
        <v>818</v>
      </c>
      <c r="B432" s="1" t="s">
        <v>584</v>
      </c>
      <c r="C432" s="1" t="str">
        <f>"尾道市栗原西1-4-19"</f>
        <v>尾道市栗原西1-4-19</v>
      </c>
      <c r="D432" s="1" t="s">
        <v>1202</v>
      </c>
      <c r="E432" s="3">
        <v>45991</v>
      </c>
      <c r="F432" s="2"/>
    </row>
    <row r="433" spans="1:6" ht="24.95" customHeight="1" x14ac:dyDescent="0.4">
      <c r="A433" s="2" t="s">
        <v>2636</v>
      </c>
      <c r="B433" s="1" t="s">
        <v>2637</v>
      </c>
      <c r="C433" s="1" t="str">
        <f>"尾道市栗原西1-9-15"</f>
        <v>尾道市栗原西1-9-15</v>
      </c>
      <c r="D433" s="1" t="s">
        <v>531</v>
      </c>
      <c r="E433" s="3">
        <v>47087</v>
      </c>
      <c r="F433" s="2"/>
    </row>
    <row r="434" spans="1:6" ht="24.95" customHeight="1" x14ac:dyDescent="0.4">
      <c r="A434" s="2" t="s">
        <v>1908</v>
      </c>
      <c r="B434" s="1" t="s">
        <v>2326</v>
      </c>
      <c r="C434" s="1" t="str">
        <f>"尾道市栗原西2-3-11"</f>
        <v>尾道市栗原西2-3-11</v>
      </c>
      <c r="D434" s="1" t="s">
        <v>30</v>
      </c>
      <c r="E434" s="3">
        <v>47087</v>
      </c>
      <c r="F434" s="2"/>
    </row>
    <row r="435" spans="1:6" ht="24.95" customHeight="1" x14ac:dyDescent="0.4">
      <c r="A435" s="2" t="s">
        <v>1843</v>
      </c>
      <c r="B435" s="1" t="s">
        <v>2326</v>
      </c>
      <c r="C435" s="1" t="str">
        <f>"尾道市栗原西2-3-11"</f>
        <v>尾道市栗原西2-3-11</v>
      </c>
      <c r="D435" s="1" t="s">
        <v>581</v>
      </c>
      <c r="E435" s="3">
        <v>47087</v>
      </c>
      <c r="F435" s="2"/>
    </row>
    <row r="436" spans="1:6" ht="24.95" customHeight="1" x14ac:dyDescent="0.4">
      <c r="A436" s="2" t="s">
        <v>1327</v>
      </c>
      <c r="B436" s="1" t="s">
        <v>1295</v>
      </c>
      <c r="C436" s="1" t="str">
        <f>"尾道市栗原西2-9-6"</f>
        <v>尾道市栗原西2-9-6</v>
      </c>
      <c r="D436" s="1" t="s">
        <v>324</v>
      </c>
      <c r="E436" s="3">
        <v>47087</v>
      </c>
      <c r="F436" s="2"/>
    </row>
    <row r="437" spans="1:6" ht="24.95" customHeight="1" x14ac:dyDescent="0.4">
      <c r="A437" s="2" t="s">
        <v>2607</v>
      </c>
      <c r="B437" s="1" t="s">
        <v>1574</v>
      </c>
      <c r="C437" s="1" t="s">
        <v>1228</v>
      </c>
      <c r="D437" s="1" t="s">
        <v>104</v>
      </c>
      <c r="E437" s="3">
        <v>47087</v>
      </c>
      <c r="F437" s="2"/>
    </row>
    <row r="438" spans="1:6" ht="24.95" customHeight="1" x14ac:dyDescent="0.4">
      <c r="A438" s="2" t="s">
        <v>2621</v>
      </c>
      <c r="B438" s="1" t="s">
        <v>2622</v>
      </c>
      <c r="C438" s="1" t="str">
        <f>"尾道市栗原町5901-1"</f>
        <v>尾道市栗原町5901-1</v>
      </c>
      <c r="D438" s="1" t="s">
        <v>220</v>
      </c>
      <c r="E438" s="3">
        <v>47087</v>
      </c>
      <c r="F438" s="2"/>
    </row>
    <row r="439" spans="1:6" ht="24.95" customHeight="1" x14ac:dyDescent="0.4">
      <c r="A439" s="2" t="s">
        <v>913</v>
      </c>
      <c r="B439" s="1" t="s">
        <v>914</v>
      </c>
      <c r="C439" s="1" t="str">
        <f>"尾道市栗原町5901-1-3F"</f>
        <v>尾道市栗原町5901-1-3F</v>
      </c>
      <c r="D439" s="1" t="s">
        <v>139</v>
      </c>
      <c r="E439" s="3">
        <v>47087</v>
      </c>
      <c r="F439" s="2"/>
    </row>
    <row r="440" spans="1:6" ht="24.95" customHeight="1" x14ac:dyDescent="0.4">
      <c r="A440" s="2" t="s">
        <v>1108</v>
      </c>
      <c r="B440" s="1" t="s">
        <v>1826</v>
      </c>
      <c r="C440" s="1" t="str">
        <f>"尾道市栗原町8513-1"</f>
        <v>尾道市栗原町8513-1</v>
      </c>
      <c r="D440" s="1" t="s">
        <v>30</v>
      </c>
      <c r="E440" s="3">
        <v>47087</v>
      </c>
      <c r="F440" s="2"/>
    </row>
    <row r="441" spans="1:6" ht="24.95" customHeight="1" x14ac:dyDescent="0.4">
      <c r="A441" s="2" t="s">
        <v>2532</v>
      </c>
      <c r="B441" s="1" t="s">
        <v>537</v>
      </c>
      <c r="C441" s="1" t="str">
        <f>"尾道市栗原町9650-4"</f>
        <v>尾道市栗原町9650-4</v>
      </c>
      <c r="D441" s="1" t="s">
        <v>2668</v>
      </c>
      <c r="E441" s="3">
        <v>47087</v>
      </c>
      <c r="F441" s="2"/>
    </row>
    <row r="442" spans="1:6" ht="24.95" customHeight="1" x14ac:dyDescent="0.4">
      <c r="A442" s="2" t="s">
        <v>2370</v>
      </c>
      <c r="B442" s="1" t="s">
        <v>2371</v>
      </c>
      <c r="C442" s="1" t="str">
        <f>"尾道市栗原東2-4-32"</f>
        <v>尾道市栗原東2-4-32</v>
      </c>
      <c r="D442" s="1" t="s">
        <v>30</v>
      </c>
      <c r="E442" s="3">
        <v>45991</v>
      </c>
      <c r="F442" s="2"/>
    </row>
    <row r="443" spans="1:6" ht="24.95" customHeight="1" x14ac:dyDescent="0.4">
      <c r="A443" s="2" t="s">
        <v>518</v>
      </c>
      <c r="B443" s="1" t="s">
        <v>522</v>
      </c>
      <c r="C443" s="1" t="str">
        <f>"尾道市古浜町6-20"</f>
        <v>尾道市古浜町6-20</v>
      </c>
      <c r="D443" s="1" t="s">
        <v>30</v>
      </c>
      <c r="E443" s="3">
        <v>47087</v>
      </c>
      <c r="F443" s="2"/>
    </row>
    <row r="444" spans="1:6" ht="24.95" customHeight="1" x14ac:dyDescent="0.4">
      <c r="A444" s="2" t="s">
        <v>217</v>
      </c>
      <c r="B444" s="1" t="s">
        <v>2631</v>
      </c>
      <c r="C444" s="1" t="str">
        <f>"尾道市御調町丸河南721-1"</f>
        <v>尾道市御調町丸河南721-1</v>
      </c>
      <c r="D444" s="1" t="s">
        <v>192</v>
      </c>
      <c r="E444" s="3">
        <v>47087</v>
      </c>
      <c r="F444" s="2"/>
    </row>
    <row r="445" spans="1:6" ht="24.95" customHeight="1" x14ac:dyDescent="0.4">
      <c r="A445" s="2" t="s">
        <v>883</v>
      </c>
      <c r="B445" s="1" t="s">
        <v>1007</v>
      </c>
      <c r="C445" s="1" t="s">
        <v>1008</v>
      </c>
      <c r="D445" s="1" t="s">
        <v>30</v>
      </c>
      <c r="E445" s="3">
        <v>47087</v>
      </c>
      <c r="F445" s="2"/>
    </row>
    <row r="446" spans="1:6" ht="24.95" customHeight="1" x14ac:dyDescent="0.4">
      <c r="A446" s="2" t="s">
        <v>773</v>
      </c>
      <c r="B446" s="1" t="s">
        <v>1007</v>
      </c>
      <c r="C446" s="1" t="s">
        <v>1008</v>
      </c>
      <c r="D446" s="1" t="s">
        <v>122</v>
      </c>
      <c r="E446" s="3">
        <v>47087</v>
      </c>
      <c r="F446" s="2"/>
    </row>
    <row r="447" spans="1:6" ht="24.95" customHeight="1" x14ac:dyDescent="0.4">
      <c r="A447" s="2" t="s">
        <v>732</v>
      </c>
      <c r="B447" s="1" t="s">
        <v>1007</v>
      </c>
      <c r="C447" s="1" t="s">
        <v>1008</v>
      </c>
      <c r="D447" s="1" t="s">
        <v>67</v>
      </c>
      <c r="E447" s="3">
        <v>47087</v>
      </c>
      <c r="F447" s="2"/>
    </row>
    <row r="448" spans="1:6" ht="24.95" customHeight="1" x14ac:dyDescent="0.4">
      <c r="A448" s="2" t="s">
        <v>2075</v>
      </c>
      <c r="B448" s="1" t="s">
        <v>1007</v>
      </c>
      <c r="C448" s="1" t="s">
        <v>1008</v>
      </c>
      <c r="D448" s="1" t="s">
        <v>122</v>
      </c>
      <c r="E448" s="3">
        <v>47087</v>
      </c>
      <c r="F448" s="2"/>
    </row>
    <row r="449" spans="1:6" ht="24.95" customHeight="1" x14ac:dyDescent="0.4">
      <c r="A449" s="2" t="s">
        <v>558</v>
      </c>
      <c r="B449" s="1" t="s">
        <v>1007</v>
      </c>
      <c r="C449" s="1" t="s">
        <v>1008</v>
      </c>
      <c r="D449" s="1" t="s">
        <v>531</v>
      </c>
      <c r="E449" s="3">
        <v>46721</v>
      </c>
      <c r="F449" s="2"/>
    </row>
    <row r="450" spans="1:6" ht="24.95" customHeight="1" x14ac:dyDescent="0.4">
      <c r="A450" s="2" t="s">
        <v>2462</v>
      </c>
      <c r="B450" s="1" t="s">
        <v>1007</v>
      </c>
      <c r="C450" s="1" t="s">
        <v>1008</v>
      </c>
      <c r="D450" s="1" t="s">
        <v>335</v>
      </c>
      <c r="E450" s="3">
        <v>46356</v>
      </c>
      <c r="F450" s="2"/>
    </row>
    <row r="451" spans="1:6" ht="24.95" customHeight="1" x14ac:dyDescent="0.4">
      <c r="A451" s="2" t="s">
        <v>264</v>
      </c>
      <c r="B451" s="1" t="s">
        <v>1007</v>
      </c>
      <c r="C451" s="1" t="s">
        <v>1008</v>
      </c>
      <c r="D451" s="1" t="s">
        <v>30</v>
      </c>
      <c r="E451" s="3">
        <v>46721</v>
      </c>
      <c r="F451" s="2"/>
    </row>
    <row r="452" spans="1:6" ht="24.95" customHeight="1" x14ac:dyDescent="0.4">
      <c r="A452" s="2" t="s">
        <v>35</v>
      </c>
      <c r="B452" s="1" t="s">
        <v>1007</v>
      </c>
      <c r="C452" s="1" t="s">
        <v>1008</v>
      </c>
      <c r="D452" s="1" t="s">
        <v>192</v>
      </c>
      <c r="E452" s="3">
        <v>47087</v>
      </c>
      <c r="F452" s="2"/>
    </row>
    <row r="453" spans="1:6" ht="24.95" customHeight="1" x14ac:dyDescent="0.4">
      <c r="A453" s="2" t="s">
        <v>319</v>
      </c>
      <c r="B453" s="1" t="s">
        <v>194</v>
      </c>
      <c r="C453" s="1" t="s">
        <v>323</v>
      </c>
      <c r="D453" s="1" t="s">
        <v>324</v>
      </c>
      <c r="E453" s="3">
        <v>47087</v>
      </c>
      <c r="F453" s="2"/>
    </row>
    <row r="454" spans="1:6" ht="24.95" customHeight="1" x14ac:dyDescent="0.4">
      <c r="A454" s="2" t="s">
        <v>2733</v>
      </c>
      <c r="B454" s="1" t="s">
        <v>2688</v>
      </c>
      <c r="C454" s="1" t="str">
        <f>"尾道市向島町576-1"</f>
        <v>尾道市向島町576-1</v>
      </c>
      <c r="D454" s="1" t="s">
        <v>531</v>
      </c>
      <c r="E454" s="3">
        <v>46356</v>
      </c>
      <c r="F454" s="2"/>
    </row>
    <row r="455" spans="1:6" ht="24.95" customHeight="1" x14ac:dyDescent="0.4">
      <c r="A455" s="2" t="s">
        <v>2114</v>
      </c>
      <c r="B455" s="1" t="s">
        <v>1353</v>
      </c>
      <c r="C455" s="1" t="str">
        <f>"尾道市向東町1014-1"</f>
        <v>尾道市向東町1014-1</v>
      </c>
      <c r="D455" s="1" t="s">
        <v>324</v>
      </c>
      <c r="E455" s="3">
        <v>47087</v>
      </c>
      <c r="F455" s="2"/>
    </row>
    <row r="456" spans="1:6" ht="24.95" customHeight="1" x14ac:dyDescent="0.4">
      <c r="A456" s="2" t="s">
        <v>1778</v>
      </c>
      <c r="B456" s="1" t="s">
        <v>1779</v>
      </c>
      <c r="C456" s="1" t="str">
        <f>"尾道市向東町3569-1"</f>
        <v>尾道市向東町3569-1</v>
      </c>
      <c r="D456" s="1" t="s">
        <v>139</v>
      </c>
      <c r="E456" s="3">
        <v>47087</v>
      </c>
      <c r="F456" s="2"/>
    </row>
    <row r="457" spans="1:6" ht="24.95" customHeight="1" x14ac:dyDescent="0.4">
      <c r="A457" s="2" t="s">
        <v>119</v>
      </c>
      <c r="B457" s="1" t="s">
        <v>524</v>
      </c>
      <c r="C457" s="1" t="str">
        <f>"尾道市向東町3570-5"</f>
        <v>尾道市向東町3570-5</v>
      </c>
      <c r="D457" s="1" t="s">
        <v>85</v>
      </c>
      <c r="E457" s="3">
        <v>47087</v>
      </c>
      <c r="F457" s="2"/>
    </row>
    <row r="458" spans="1:6" ht="24.95" customHeight="1" x14ac:dyDescent="0.4">
      <c r="A458" s="2" t="s">
        <v>2285</v>
      </c>
      <c r="B458" s="1" t="s">
        <v>212</v>
      </c>
      <c r="C458" s="1" t="str">
        <f>"尾道市向東町8681-1"</f>
        <v>尾道市向東町8681-1</v>
      </c>
      <c r="D458" s="1" t="s">
        <v>921</v>
      </c>
      <c r="E458" s="3">
        <v>46721</v>
      </c>
      <c r="F458" s="2"/>
    </row>
    <row r="459" spans="1:6" ht="24.95" customHeight="1" x14ac:dyDescent="0.4">
      <c r="A459" s="2" t="s">
        <v>285</v>
      </c>
      <c r="B459" s="1" t="s">
        <v>287</v>
      </c>
      <c r="C459" s="1" t="str">
        <f>"尾道市高須町1286-3"</f>
        <v>尾道市高須町1286-3</v>
      </c>
      <c r="D459" s="1" t="s">
        <v>186</v>
      </c>
      <c r="E459" s="3">
        <v>47087</v>
      </c>
      <c r="F459" s="2"/>
    </row>
    <row r="460" spans="1:6" ht="24.95" customHeight="1" x14ac:dyDescent="0.4">
      <c r="A460" s="2" t="s">
        <v>867</v>
      </c>
      <c r="B460" s="1" t="s">
        <v>287</v>
      </c>
      <c r="C460" s="1" t="str">
        <f>"尾道市高須町1286-3"</f>
        <v>尾道市高須町1286-3</v>
      </c>
      <c r="D460" s="1" t="s">
        <v>186</v>
      </c>
      <c r="E460" s="3">
        <v>47087</v>
      </c>
      <c r="F460" s="2"/>
    </row>
    <row r="461" spans="1:6" ht="24.95" customHeight="1" x14ac:dyDescent="0.4">
      <c r="A461" s="2" t="s">
        <v>366</v>
      </c>
      <c r="B461" s="1" t="s">
        <v>434</v>
      </c>
      <c r="C461" s="1" t="str">
        <f>"尾道市高須町1383-2"</f>
        <v>尾道市高須町1383-2</v>
      </c>
      <c r="D461" s="1" t="s">
        <v>435</v>
      </c>
      <c r="E461" s="3">
        <v>47087</v>
      </c>
      <c r="F461" s="2"/>
    </row>
    <row r="462" spans="1:6" ht="24.95" customHeight="1" x14ac:dyDescent="0.4">
      <c r="A462" s="2" t="s">
        <v>1155</v>
      </c>
      <c r="B462" s="1" t="s">
        <v>1669</v>
      </c>
      <c r="C462" s="1" t="s">
        <v>1282</v>
      </c>
      <c r="D462" s="1" t="s">
        <v>220</v>
      </c>
      <c r="E462" s="3">
        <v>47087</v>
      </c>
      <c r="F462" s="2"/>
    </row>
    <row r="463" spans="1:6" ht="24.95" customHeight="1" x14ac:dyDescent="0.4">
      <c r="A463" s="2" t="s">
        <v>505</v>
      </c>
      <c r="B463" s="1" t="s">
        <v>506</v>
      </c>
      <c r="C463" s="1" t="str">
        <f>"尾道市高須町3659-1"</f>
        <v>尾道市高須町3659-1</v>
      </c>
      <c r="D463" s="1" t="s">
        <v>181</v>
      </c>
      <c r="E463" s="3">
        <v>47087</v>
      </c>
      <c r="F463" s="2"/>
    </row>
    <row r="464" spans="1:6" ht="24.95" customHeight="1" x14ac:dyDescent="0.4">
      <c r="A464" s="2" t="s">
        <v>404</v>
      </c>
      <c r="B464" s="1" t="s">
        <v>405</v>
      </c>
      <c r="C464" s="1" t="str">
        <f>"尾道市高須町4773-1"</f>
        <v>尾道市高須町4773-1</v>
      </c>
      <c r="D464" s="1" t="s">
        <v>139</v>
      </c>
      <c r="E464" s="3">
        <v>47087</v>
      </c>
      <c r="F464" s="2"/>
    </row>
    <row r="465" spans="1:6" ht="24.95" customHeight="1" x14ac:dyDescent="0.4">
      <c r="A465" s="2" t="s">
        <v>297</v>
      </c>
      <c r="B465" s="1" t="s">
        <v>405</v>
      </c>
      <c r="C465" s="1" t="str">
        <f>"尾道市高須町4773-1"</f>
        <v>尾道市高須町4773-1</v>
      </c>
      <c r="D465" s="1" t="s">
        <v>104</v>
      </c>
      <c r="E465" s="3">
        <v>47087</v>
      </c>
      <c r="F465" s="2"/>
    </row>
    <row r="466" spans="1:6" ht="24.95" customHeight="1" x14ac:dyDescent="0.4">
      <c r="A466" s="2" t="s">
        <v>406</v>
      </c>
      <c r="B466" s="1" t="s">
        <v>405</v>
      </c>
      <c r="C466" s="1" t="str">
        <f>"尾道市高須町4773-1"</f>
        <v>尾道市高須町4773-1</v>
      </c>
      <c r="D466" s="1" t="s">
        <v>104</v>
      </c>
      <c r="E466" s="3">
        <v>47087</v>
      </c>
      <c r="F466" s="2"/>
    </row>
    <row r="467" spans="1:6" ht="24.95" customHeight="1" x14ac:dyDescent="0.4">
      <c r="A467" s="2" t="s">
        <v>2008</v>
      </c>
      <c r="B467" s="1" t="s">
        <v>387</v>
      </c>
      <c r="C467" s="1" t="str">
        <f>"尾道市高須町4803-8"</f>
        <v>尾道市高須町4803-8</v>
      </c>
      <c r="D467" s="1" t="s">
        <v>104</v>
      </c>
      <c r="E467" s="3">
        <v>47087</v>
      </c>
      <c r="F467" s="2"/>
    </row>
    <row r="468" spans="1:6" ht="24.95" customHeight="1" x14ac:dyDescent="0.4">
      <c r="A468" s="2" t="s">
        <v>807</v>
      </c>
      <c r="B468" s="1" t="s">
        <v>1635</v>
      </c>
      <c r="C468" s="1" t="s">
        <v>1636</v>
      </c>
      <c r="D468" s="1" t="s">
        <v>946</v>
      </c>
      <c r="E468" s="3">
        <v>47087</v>
      </c>
      <c r="F468" s="2"/>
    </row>
    <row r="469" spans="1:6" ht="24.95" customHeight="1" x14ac:dyDescent="0.4">
      <c r="A469" s="2" t="s">
        <v>1264</v>
      </c>
      <c r="B469" s="1" t="s">
        <v>1395</v>
      </c>
      <c r="C469" s="1" t="s">
        <v>1396</v>
      </c>
      <c r="D469" s="1" t="s">
        <v>159</v>
      </c>
      <c r="E469" s="3">
        <v>47087</v>
      </c>
      <c r="F469" s="2"/>
    </row>
    <row r="470" spans="1:6" ht="24.95" customHeight="1" x14ac:dyDescent="0.4">
      <c r="A470" s="2" t="s">
        <v>277</v>
      </c>
      <c r="B470" s="1" t="s">
        <v>1395</v>
      </c>
      <c r="C470" s="1" t="s">
        <v>1396</v>
      </c>
      <c r="D470" s="1" t="s">
        <v>279</v>
      </c>
      <c r="E470" s="3">
        <v>47087</v>
      </c>
      <c r="F470" s="2"/>
    </row>
    <row r="471" spans="1:6" ht="24.95" customHeight="1" x14ac:dyDescent="0.4">
      <c r="A471" s="2" t="s">
        <v>2138</v>
      </c>
      <c r="B471" s="1" t="s">
        <v>1395</v>
      </c>
      <c r="C471" s="1" t="s">
        <v>1396</v>
      </c>
      <c r="D471" s="1" t="s">
        <v>794</v>
      </c>
      <c r="E471" s="3">
        <v>46356</v>
      </c>
      <c r="F471" s="2"/>
    </row>
    <row r="472" spans="1:6" ht="24.95" customHeight="1" x14ac:dyDescent="0.4">
      <c r="A472" s="2" t="s">
        <v>1414</v>
      </c>
      <c r="B472" s="1" t="s">
        <v>839</v>
      </c>
      <c r="C472" s="1" t="str">
        <f>"尾道市三軒家町17-12"</f>
        <v>尾道市三軒家町17-12</v>
      </c>
      <c r="D472" s="1" t="s">
        <v>30</v>
      </c>
      <c r="E472" s="3">
        <v>47087</v>
      </c>
      <c r="F472" s="2"/>
    </row>
    <row r="473" spans="1:6" ht="24.95" customHeight="1" x14ac:dyDescent="0.4">
      <c r="A473" s="2" t="s">
        <v>1066</v>
      </c>
      <c r="B473" s="1" t="s">
        <v>1154</v>
      </c>
      <c r="C473" s="1" t="str">
        <f t="shared" ref="C473:C490" si="14">"尾道市新高山3-1170-177"</f>
        <v>尾道市新高山3-1170-177</v>
      </c>
      <c r="D473" s="1" t="s">
        <v>30</v>
      </c>
      <c r="E473" s="3">
        <v>47087</v>
      </c>
      <c r="F473" s="2"/>
    </row>
    <row r="474" spans="1:6" ht="24.95" customHeight="1" x14ac:dyDescent="0.4">
      <c r="A474" s="2" t="s">
        <v>1034</v>
      </c>
      <c r="B474" s="1" t="s">
        <v>1154</v>
      </c>
      <c r="C474" s="1" t="str">
        <f t="shared" si="14"/>
        <v>尾道市新高山3-1170-177</v>
      </c>
      <c r="D474" s="1" t="s">
        <v>531</v>
      </c>
      <c r="E474" s="3">
        <v>47087</v>
      </c>
      <c r="F474" s="2"/>
    </row>
    <row r="475" spans="1:6" ht="24.95" customHeight="1" x14ac:dyDescent="0.4">
      <c r="A475" s="2" t="s">
        <v>20</v>
      </c>
      <c r="B475" s="1" t="s">
        <v>1154</v>
      </c>
      <c r="C475" s="1" t="str">
        <f t="shared" si="14"/>
        <v>尾道市新高山3-1170-177</v>
      </c>
      <c r="D475" s="1" t="s">
        <v>122</v>
      </c>
      <c r="E475" s="3">
        <v>47087</v>
      </c>
      <c r="F475" s="2"/>
    </row>
    <row r="476" spans="1:6" ht="24.95" customHeight="1" x14ac:dyDescent="0.4">
      <c r="A476" s="2" t="s">
        <v>216</v>
      </c>
      <c r="B476" s="1" t="s">
        <v>1154</v>
      </c>
      <c r="C476" s="1" t="str">
        <f t="shared" si="14"/>
        <v>尾道市新高山3-1170-177</v>
      </c>
      <c r="D476" s="1" t="s">
        <v>30</v>
      </c>
      <c r="E476" s="3">
        <v>47087</v>
      </c>
      <c r="F476" s="2"/>
    </row>
    <row r="477" spans="1:6" ht="24.95" customHeight="1" x14ac:dyDescent="0.4">
      <c r="A477" s="2" t="s">
        <v>258</v>
      </c>
      <c r="B477" s="1" t="s">
        <v>1154</v>
      </c>
      <c r="C477" s="1" t="str">
        <f t="shared" si="14"/>
        <v>尾道市新高山3-1170-177</v>
      </c>
      <c r="D477" s="1" t="s">
        <v>122</v>
      </c>
      <c r="E477" s="3">
        <v>47087</v>
      </c>
      <c r="F477" s="2"/>
    </row>
    <row r="478" spans="1:6" ht="24.95" customHeight="1" x14ac:dyDescent="0.4">
      <c r="A478" s="2" t="s">
        <v>1630</v>
      </c>
      <c r="B478" s="1" t="s">
        <v>1154</v>
      </c>
      <c r="C478" s="1" t="str">
        <f t="shared" si="14"/>
        <v>尾道市新高山3-1170-177</v>
      </c>
      <c r="D478" s="1" t="s">
        <v>240</v>
      </c>
      <c r="E478" s="3">
        <v>47087</v>
      </c>
      <c r="F478" s="2"/>
    </row>
    <row r="479" spans="1:6" ht="24.95" customHeight="1" x14ac:dyDescent="0.4">
      <c r="A479" s="2" t="s">
        <v>1690</v>
      </c>
      <c r="B479" s="1" t="s">
        <v>1154</v>
      </c>
      <c r="C479" s="1" t="str">
        <f t="shared" si="14"/>
        <v>尾道市新高山3-1170-177</v>
      </c>
      <c r="D479" s="1" t="s">
        <v>576</v>
      </c>
      <c r="E479" s="3">
        <v>47087</v>
      </c>
      <c r="F479" s="2"/>
    </row>
    <row r="480" spans="1:6" ht="24.95" customHeight="1" x14ac:dyDescent="0.4">
      <c r="A480" s="2" t="s">
        <v>1853</v>
      </c>
      <c r="B480" s="1" t="s">
        <v>1154</v>
      </c>
      <c r="C480" s="1" t="str">
        <f t="shared" si="14"/>
        <v>尾道市新高山3-1170-177</v>
      </c>
      <c r="D480" s="1" t="s">
        <v>1702</v>
      </c>
      <c r="E480" s="3">
        <v>47087</v>
      </c>
      <c r="F480" s="2"/>
    </row>
    <row r="481" spans="1:6" ht="24.95" customHeight="1" x14ac:dyDescent="0.4">
      <c r="A481" s="2" t="s">
        <v>2018</v>
      </c>
      <c r="B481" s="1" t="s">
        <v>1154</v>
      </c>
      <c r="C481" s="1" t="str">
        <f t="shared" si="14"/>
        <v>尾道市新高山3-1170-177</v>
      </c>
      <c r="D481" s="1" t="s">
        <v>324</v>
      </c>
      <c r="E481" s="3">
        <v>47087</v>
      </c>
      <c r="F481" s="2"/>
    </row>
    <row r="482" spans="1:6" ht="24.95" customHeight="1" x14ac:dyDescent="0.4">
      <c r="A482" s="2" t="s">
        <v>2019</v>
      </c>
      <c r="B482" s="1" t="s">
        <v>1154</v>
      </c>
      <c r="C482" s="1" t="str">
        <f t="shared" si="14"/>
        <v>尾道市新高山3-1170-177</v>
      </c>
      <c r="D482" s="1" t="s">
        <v>67</v>
      </c>
      <c r="E482" s="3">
        <v>47087</v>
      </c>
      <c r="F482" s="2"/>
    </row>
    <row r="483" spans="1:6" ht="24.95" customHeight="1" x14ac:dyDescent="0.4">
      <c r="A483" s="2" t="s">
        <v>2020</v>
      </c>
      <c r="B483" s="1" t="s">
        <v>1154</v>
      </c>
      <c r="C483" s="1" t="str">
        <f t="shared" si="14"/>
        <v>尾道市新高山3-1170-177</v>
      </c>
      <c r="D483" s="1" t="s">
        <v>324</v>
      </c>
      <c r="E483" s="3">
        <v>47087</v>
      </c>
      <c r="F483" s="2"/>
    </row>
    <row r="484" spans="1:6" ht="24.95" customHeight="1" x14ac:dyDescent="0.4">
      <c r="A484" s="2" t="s">
        <v>2032</v>
      </c>
      <c r="B484" s="1" t="s">
        <v>1154</v>
      </c>
      <c r="C484" s="1" t="str">
        <f t="shared" si="14"/>
        <v>尾道市新高山3-1170-177</v>
      </c>
      <c r="D484" s="1" t="s">
        <v>324</v>
      </c>
      <c r="E484" s="3">
        <v>47087</v>
      </c>
      <c r="F484" s="2"/>
    </row>
    <row r="485" spans="1:6" ht="24.95" customHeight="1" x14ac:dyDescent="0.4">
      <c r="A485" s="2" t="s">
        <v>1575</v>
      </c>
      <c r="B485" s="1" t="s">
        <v>1154</v>
      </c>
      <c r="C485" s="1" t="str">
        <f t="shared" si="14"/>
        <v>尾道市新高山3-1170-177</v>
      </c>
      <c r="D485" s="1" t="s">
        <v>30</v>
      </c>
      <c r="E485" s="3">
        <v>47087</v>
      </c>
      <c r="F485" s="2"/>
    </row>
    <row r="486" spans="1:6" ht="24.95" customHeight="1" x14ac:dyDescent="0.4">
      <c r="A486" s="2" t="s">
        <v>1329</v>
      </c>
      <c r="B486" s="1" t="s">
        <v>1154</v>
      </c>
      <c r="C486" s="1" t="str">
        <f t="shared" si="14"/>
        <v>尾道市新高山3-1170-177</v>
      </c>
      <c r="D486" s="1" t="s">
        <v>240</v>
      </c>
      <c r="E486" s="3">
        <v>46356</v>
      </c>
      <c r="F486" s="2"/>
    </row>
    <row r="487" spans="1:6" ht="24.95" customHeight="1" x14ac:dyDescent="0.4">
      <c r="A487" s="2" t="s">
        <v>2509</v>
      </c>
      <c r="B487" s="1" t="s">
        <v>1154</v>
      </c>
      <c r="C487" s="1" t="str">
        <f t="shared" si="14"/>
        <v>尾道市新高山3-1170-177</v>
      </c>
      <c r="D487" s="1" t="s">
        <v>179</v>
      </c>
      <c r="E487" s="3">
        <v>46721</v>
      </c>
      <c r="F487" s="2"/>
    </row>
    <row r="488" spans="1:6" ht="24.95" customHeight="1" x14ac:dyDescent="0.4">
      <c r="A488" s="2" t="s">
        <v>2511</v>
      </c>
      <c r="B488" s="1" t="s">
        <v>1154</v>
      </c>
      <c r="C488" s="1" t="str">
        <f t="shared" si="14"/>
        <v>尾道市新高山3-1170-177</v>
      </c>
      <c r="D488" s="1" t="s">
        <v>179</v>
      </c>
      <c r="E488" s="3">
        <v>46721</v>
      </c>
      <c r="F488" s="2"/>
    </row>
    <row r="489" spans="1:6" ht="24.95" customHeight="1" x14ac:dyDescent="0.4">
      <c r="A489" s="2" t="s">
        <v>1963</v>
      </c>
      <c r="B489" s="1" t="s">
        <v>1154</v>
      </c>
      <c r="C489" s="1" t="str">
        <f t="shared" si="14"/>
        <v>尾道市新高山3-1170-177</v>
      </c>
      <c r="D489" s="1" t="s">
        <v>104</v>
      </c>
      <c r="E489" s="3">
        <v>47087</v>
      </c>
      <c r="F489" s="2"/>
    </row>
    <row r="490" spans="1:6" ht="24.95" customHeight="1" x14ac:dyDescent="0.4">
      <c r="A490" s="2" t="s">
        <v>1517</v>
      </c>
      <c r="B490" s="1" t="s">
        <v>1154</v>
      </c>
      <c r="C490" s="1" t="str">
        <f t="shared" si="14"/>
        <v>尾道市新高山3-1170-177</v>
      </c>
      <c r="D490" s="1" t="s">
        <v>179</v>
      </c>
      <c r="E490" s="3">
        <v>47087</v>
      </c>
      <c r="F490" s="2"/>
    </row>
    <row r="491" spans="1:6" ht="24.95" customHeight="1" x14ac:dyDescent="0.4">
      <c r="A491" s="2" t="s">
        <v>1004</v>
      </c>
      <c r="B491" s="1" t="s">
        <v>1005</v>
      </c>
      <c r="C491" s="1" t="str">
        <f>"尾道市新浜1-14-26"</f>
        <v>尾道市新浜1-14-26</v>
      </c>
      <c r="D491" s="5" t="s">
        <v>98</v>
      </c>
      <c r="E491" s="3">
        <v>47087</v>
      </c>
      <c r="F491" s="2"/>
    </row>
    <row r="492" spans="1:6" ht="24.95" customHeight="1" x14ac:dyDescent="0.4">
      <c r="A492" s="2" t="s">
        <v>1556</v>
      </c>
      <c r="B492" s="1" t="s">
        <v>1005</v>
      </c>
      <c r="C492" s="1" t="str">
        <f>"尾道市新浜1-14-26"</f>
        <v>尾道市新浜1-14-26</v>
      </c>
      <c r="D492" s="1" t="s">
        <v>132</v>
      </c>
      <c r="E492" s="3">
        <v>47087</v>
      </c>
      <c r="F492" s="2"/>
    </row>
    <row r="493" spans="1:6" ht="24.95" customHeight="1" x14ac:dyDescent="0.4">
      <c r="A493" s="2" t="s">
        <v>51</v>
      </c>
      <c r="B493" s="1" t="s">
        <v>1005</v>
      </c>
      <c r="C493" s="1" t="str">
        <f>"尾道市新浜1-14-26"</f>
        <v>尾道市新浜1-14-26</v>
      </c>
      <c r="D493" s="5" t="s">
        <v>1619</v>
      </c>
      <c r="E493" s="3">
        <v>47087</v>
      </c>
      <c r="F493" s="2"/>
    </row>
    <row r="494" spans="1:6" ht="24.95" customHeight="1" x14ac:dyDescent="0.4">
      <c r="A494" s="2" t="s">
        <v>2030</v>
      </c>
      <c r="B494" s="1" t="s">
        <v>1005</v>
      </c>
      <c r="C494" s="1" t="str">
        <f>"尾道市新浜1-14-26"</f>
        <v>尾道市新浜1-14-26</v>
      </c>
      <c r="D494" s="5" t="s">
        <v>792</v>
      </c>
      <c r="E494" s="3">
        <v>47087</v>
      </c>
      <c r="F494" s="2"/>
    </row>
    <row r="495" spans="1:6" ht="24.95" customHeight="1" x14ac:dyDescent="0.4">
      <c r="A495" s="2" t="s">
        <v>977</v>
      </c>
      <c r="B495" s="1" t="s">
        <v>1005</v>
      </c>
      <c r="C495" s="1" t="str">
        <f>"尾道市新浜1-14-26"</f>
        <v>尾道市新浜1-14-26</v>
      </c>
      <c r="D495" s="1" t="s">
        <v>950</v>
      </c>
      <c r="E495" s="3">
        <v>46356</v>
      </c>
      <c r="F495" s="2"/>
    </row>
    <row r="496" spans="1:6" ht="24.95" customHeight="1" x14ac:dyDescent="0.4">
      <c r="A496" s="2" t="s">
        <v>1162</v>
      </c>
      <c r="B496" s="1" t="s">
        <v>451</v>
      </c>
      <c r="C496" s="1" t="str">
        <f>"尾道市新浜2-10-12"</f>
        <v>尾道市新浜2-10-12</v>
      </c>
      <c r="D496" s="1" t="s">
        <v>30</v>
      </c>
      <c r="E496" s="3">
        <v>47087</v>
      </c>
      <c r="F496" s="2"/>
    </row>
    <row r="497" spans="1:6" ht="24.95" customHeight="1" x14ac:dyDescent="0.4">
      <c r="A497" s="2" t="s">
        <v>2664</v>
      </c>
      <c r="B497" s="1" t="s">
        <v>2665</v>
      </c>
      <c r="C497" s="1" t="str">
        <f>"尾道市新浜2-2-3"</f>
        <v>尾道市新浜2-2-3</v>
      </c>
      <c r="D497" s="1" t="s">
        <v>181</v>
      </c>
      <c r="E497" s="3">
        <v>47087</v>
      </c>
      <c r="F497" s="2"/>
    </row>
    <row r="498" spans="1:6" ht="24.95" customHeight="1" x14ac:dyDescent="0.4">
      <c r="A498" s="2" t="s">
        <v>1087</v>
      </c>
      <c r="B498" s="1" t="s">
        <v>1156</v>
      </c>
      <c r="C498" s="1" t="str">
        <f>"尾道市神田町2-24"</f>
        <v>尾道市神田町2-24</v>
      </c>
      <c r="D498" s="1" t="s">
        <v>391</v>
      </c>
      <c r="E498" s="3">
        <v>47087</v>
      </c>
      <c r="F498" s="2"/>
    </row>
    <row r="499" spans="1:6" ht="24.95" customHeight="1" x14ac:dyDescent="0.4">
      <c r="A499" s="2" t="s">
        <v>1632</v>
      </c>
      <c r="B499" s="1" t="s">
        <v>1156</v>
      </c>
      <c r="C499" s="1" t="str">
        <f>"尾道市神田町2-24"</f>
        <v>尾道市神田町2-24</v>
      </c>
      <c r="D499" s="1" t="s">
        <v>531</v>
      </c>
      <c r="E499" s="3">
        <v>47087</v>
      </c>
      <c r="F499" s="2"/>
    </row>
    <row r="500" spans="1:6" ht="24.95" customHeight="1" x14ac:dyDescent="0.4">
      <c r="A500" s="2" t="s">
        <v>1974</v>
      </c>
      <c r="B500" s="1" t="s">
        <v>1156</v>
      </c>
      <c r="C500" s="1" t="str">
        <f>"尾道市神田町2-24"</f>
        <v>尾道市神田町2-24</v>
      </c>
      <c r="D500" s="1" t="s">
        <v>179</v>
      </c>
      <c r="E500" s="3">
        <v>47087</v>
      </c>
      <c r="F500" s="2"/>
    </row>
    <row r="501" spans="1:6" ht="24.95" customHeight="1" x14ac:dyDescent="0.4">
      <c r="A501" s="2" t="s">
        <v>691</v>
      </c>
      <c r="B501" s="1" t="s">
        <v>1156</v>
      </c>
      <c r="C501" s="1" t="str">
        <f>"尾道市神田町2－24"</f>
        <v>尾道市神田町2－24</v>
      </c>
      <c r="D501" s="1" t="s">
        <v>1875</v>
      </c>
      <c r="E501" s="3">
        <v>47087</v>
      </c>
      <c r="F501" s="2"/>
    </row>
    <row r="502" spans="1:6" ht="24.95" customHeight="1" x14ac:dyDescent="0.4">
      <c r="A502" s="2" t="s">
        <v>2492</v>
      </c>
      <c r="B502" s="1" t="s">
        <v>1156</v>
      </c>
      <c r="C502" s="1" t="str">
        <f>"尾道市神田町2-24"</f>
        <v>尾道市神田町2-24</v>
      </c>
      <c r="D502" s="1" t="s">
        <v>220</v>
      </c>
      <c r="E502" s="3">
        <v>46721</v>
      </c>
      <c r="F502" s="2"/>
    </row>
    <row r="503" spans="1:6" ht="24.95" customHeight="1" x14ac:dyDescent="0.4">
      <c r="A503" s="2" t="s">
        <v>2669</v>
      </c>
      <c r="B503" s="1" t="s">
        <v>1156</v>
      </c>
      <c r="C503" s="1" t="str">
        <f>"尾道市神田町2-24"</f>
        <v>尾道市神田町2-24</v>
      </c>
      <c r="D503" s="1" t="s">
        <v>30</v>
      </c>
      <c r="E503" s="3">
        <v>47087</v>
      </c>
      <c r="F503" s="2"/>
    </row>
    <row r="504" spans="1:6" ht="24.95" customHeight="1" x14ac:dyDescent="0.4">
      <c r="A504" s="2" t="s">
        <v>1437</v>
      </c>
      <c r="B504" s="1" t="s">
        <v>1438</v>
      </c>
      <c r="C504" s="1" t="s">
        <v>1389</v>
      </c>
      <c r="D504" s="1" t="s">
        <v>30</v>
      </c>
      <c r="E504" s="3">
        <v>47087</v>
      </c>
      <c r="F504" s="2"/>
    </row>
    <row r="505" spans="1:6" ht="24.95" customHeight="1" x14ac:dyDescent="0.4">
      <c r="A505" s="2" t="s">
        <v>1839</v>
      </c>
      <c r="B505" s="1" t="s">
        <v>1438</v>
      </c>
      <c r="C505" s="1" t="s">
        <v>1389</v>
      </c>
      <c r="D505" s="1" t="s">
        <v>30</v>
      </c>
      <c r="E505" s="3">
        <v>47087</v>
      </c>
      <c r="F505" s="2"/>
    </row>
    <row r="506" spans="1:6" ht="24.95" customHeight="1" x14ac:dyDescent="0.4">
      <c r="A506" s="2" t="s">
        <v>1403</v>
      </c>
      <c r="B506" s="1" t="s">
        <v>520</v>
      </c>
      <c r="C506" s="1" t="str">
        <f>"尾道市西久保町12-28"</f>
        <v>尾道市西久保町12-28</v>
      </c>
      <c r="D506" s="1" t="s">
        <v>41</v>
      </c>
      <c r="E506" s="3">
        <v>47087</v>
      </c>
      <c r="F506" s="2"/>
    </row>
    <row r="507" spans="1:6" ht="24.95" customHeight="1" x14ac:dyDescent="0.4">
      <c r="A507" s="2" t="s">
        <v>262</v>
      </c>
      <c r="B507" s="1" t="s">
        <v>573</v>
      </c>
      <c r="C507" s="1" t="str">
        <f>"尾道市西御所町2-9"</f>
        <v>尾道市西御所町2-9</v>
      </c>
      <c r="D507" s="1" t="s">
        <v>41</v>
      </c>
      <c r="E507" s="3">
        <v>47087</v>
      </c>
      <c r="F507" s="2"/>
    </row>
    <row r="508" spans="1:6" ht="24.95" customHeight="1" x14ac:dyDescent="0.4">
      <c r="A508" s="2" t="s">
        <v>270</v>
      </c>
      <c r="B508" s="1" t="s">
        <v>1043</v>
      </c>
      <c r="C508" s="1" t="str">
        <f>"尾道市西則末町1-29"</f>
        <v>尾道市西則末町1-29</v>
      </c>
      <c r="D508" s="1" t="s">
        <v>139</v>
      </c>
      <c r="E508" s="3">
        <v>47087</v>
      </c>
      <c r="F508" s="2"/>
    </row>
    <row r="509" spans="1:6" ht="24.95" customHeight="1" x14ac:dyDescent="0.4">
      <c r="A509" s="2" t="s">
        <v>873</v>
      </c>
      <c r="B509" s="1" t="s">
        <v>341</v>
      </c>
      <c r="C509" s="1" t="str">
        <f>"尾道市長江1-23-8"</f>
        <v>尾道市長江1-23-8</v>
      </c>
      <c r="D509" s="1" t="s">
        <v>30</v>
      </c>
      <c r="E509" s="3">
        <v>47087</v>
      </c>
      <c r="F509" s="2"/>
    </row>
    <row r="510" spans="1:6" ht="24.95" customHeight="1" x14ac:dyDescent="0.4">
      <c r="A510" s="2" t="s">
        <v>924</v>
      </c>
      <c r="B510" s="1" t="s">
        <v>1466</v>
      </c>
      <c r="C510" s="1" t="str">
        <f>"尾道市天満町16-14-11"</f>
        <v>尾道市天満町16-14-11</v>
      </c>
      <c r="D510" s="1" t="s">
        <v>139</v>
      </c>
      <c r="E510" s="3">
        <v>47087</v>
      </c>
      <c r="F510" s="2"/>
    </row>
    <row r="511" spans="1:6" ht="24.95" customHeight="1" x14ac:dyDescent="0.4">
      <c r="A511" s="2" t="s">
        <v>1450</v>
      </c>
      <c r="B511" s="1" t="s">
        <v>1451</v>
      </c>
      <c r="C511" s="1" t="str">
        <f>"尾道市土堂1-11-6"</f>
        <v>尾道市土堂1-11-6</v>
      </c>
      <c r="D511" s="1" t="s">
        <v>586</v>
      </c>
      <c r="E511" s="3">
        <v>47087</v>
      </c>
      <c r="F511" s="2"/>
    </row>
    <row r="512" spans="1:6" ht="24.95" customHeight="1" x14ac:dyDescent="0.4">
      <c r="A512" s="2" t="s">
        <v>642</v>
      </c>
      <c r="B512" s="1" t="s">
        <v>937</v>
      </c>
      <c r="C512" s="1" t="str">
        <f>"尾道市土堂2-4-29"</f>
        <v>尾道市土堂2-4-29</v>
      </c>
      <c r="D512" s="1" t="s">
        <v>139</v>
      </c>
      <c r="E512" s="3">
        <v>47087</v>
      </c>
      <c r="F512" s="2"/>
    </row>
    <row r="513" spans="1:6" ht="24.95" customHeight="1" x14ac:dyDescent="0.4">
      <c r="A513" s="2" t="s">
        <v>2589</v>
      </c>
      <c r="B513" s="1" t="s">
        <v>1579</v>
      </c>
      <c r="C513" s="1" t="str">
        <f>"尾道市美ノ郷町三成1065-1"</f>
        <v>尾道市美ノ郷町三成1065-1</v>
      </c>
      <c r="D513" s="1" t="s">
        <v>2590</v>
      </c>
      <c r="E513" s="3">
        <v>47087</v>
      </c>
      <c r="F513" s="2"/>
    </row>
    <row r="514" spans="1:6" ht="24.95" customHeight="1" x14ac:dyDescent="0.4">
      <c r="A514" s="2" t="s">
        <v>316</v>
      </c>
      <c r="B514" s="1" t="s">
        <v>10</v>
      </c>
      <c r="C514" s="1" t="str">
        <f>"尾道市美ノ郷町三成226-5"</f>
        <v>尾道市美ノ郷町三成226-5</v>
      </c>
      <c r="D514" s="1" t="s">
        <v>186</v>
      </c>
      <c r="E514" s="3">
        <v>47087</v>
      </c>
      <c r="F514" s="2"/>
    </row>
    <row r="515" spans="1:6" ht="24.95" customHeight="1" x14ac:dyDescent="0.4">
      <c r="A515" s="2" t="s">
        <v>1294</v>
      </c>
      <c r="B515" s="1" t="s">
        <v>2625</v>
      </c>
      <c r="C515" s="1" t="s">
        <v>1868</v>
      </c>
      <c r="D515" s="1" t="s">
        <v>717</v>
      </c>
      <c r="E515" s="3">
        <v>47087</v>
      </c>
      <c r="F515" s="2"/>
    </row>
    <row r="516" spans="1:6" ht="24.95" customHeight="1" x14ac:dyDescent="0.4">
      <c r="A516" s="2" t="s">
        <v>2705</v>
      </c>
      <c r="B516" s="1" t="s">
        <v>1847</v>
      </c>
      <c r="C516" s="1" t="s">
        <v>2553</v>
      </c>
      <c r="D516" s="1" t="s">
        <v>30</v>
      </c>
      <c r="E516" s="3">
        <v>45991</v>
      </c>
      <c r="F516" s="2"/>
    </row>
    <row r="517" spans="1:6" ht="24.95" customHeight="1" x14ac:dyDescent="0.4">
      <c r="A517" s="2" t="s">
        <v>1296</v>
      </c>
      <c r="B517" s="1" t="s">
        <v>1211</v>
      </c>
      <c r="C517" s="1" t="str">
        <f t="shared" ref="C517:C552" si="15">"尾道市平原1-10-23"</f>
        <v>尾道市平原1-10-23</v>
      </c>
      <c r="D517" s="1" t="s">
        <v>179</v>
      </c>
      <c r="E517" s="3">
        <v>47087</v>
      </c>
      <c r="F517" s="2"/>
    </row>
    <row r="518" spans="1:6" ht="24.95" customHeight="1" x14ac:dyDescent="0.4">
      <c r="A518" s="2" t="s">
        <v>306</v>
      </c>
      <c r="B518" s="1" t="s">
        <v>1211</v>
      </c>
      <c r="C518" s="1" t="str">
        <f t="shared" si="15"/>
        <v>尾道市平原1-10-23</v>
      </c>
      <c r="D518" s="1" t="s">
        <v>30</v>
      </c>
      <c r="E518" s="3">
        <v>47087</v>
      </c>
      <c r="F518" s="2"/>
    </row>
    <row r="519" spans="1:6" ht="24.95" customHeight="1" x14ac:dyDescent="0.4">
      <c r="A519" s="2" t="s">
        <v>1297</v>
      </c>
      <c r="B519" s="1" t="s">
        <v>1211</v>
      </c>
      <c r="C519" s="1" t="str">
        <f t="shared" si="15"/>
        <v>尾道市平原1-10-23</v>
      </c>
      <c r="D519" s="1" t="s">
        <v>30</v>
      </c>
      <c r="E519" s="3">
        <v>47087</v>
      </c>
      <c r="F519" s="2"/>
    </row>
    <row r="520" spans="1:6" ht="24.95" customHeight="1" x14ac:dyDescent="0.4">
      <c r="A520" s="2" t="s">
        <v>940</v>
      </c>
      <c r="B520" s="1" t="s">
        <v>1211</v>
      </c>
      <c r="C520" s="1" t="str">
        <f t="shared" si="15"/>
        <v>尾道市平原1-10-23</v>
      </c>
      <c r="D520" s="1" t="s">
        <v>30</v>
      </c>
      <c r="E520" s="3">
        <v>47087</v>
      </c>
      <c r="F520" s="2"/>
    </row>
    <row r="521" spans="1:6" ht="24.95" customHeight="1" x14ac:dyDescent="0.4">
      <c r="A521" s="2" t="s">
        <v>996</v>
      </c>
      <c r="B521" s="1" t="s">
        <v>1211</v>
      </c>
      <c r="C521" s="1" t="str">
        <f t="shared" si="15"/>
        <v>尾道市平原1-10-23</v>
      </c>
      <c r="D521" s="1" t="s">
        <v>179</v>
      </c>
      <c r="E521" s="3">
        <v>47087</v>
      </c>
      <c r="F521" s="2"/>
    </row>
    <row r="522" spans="1:6" ht="24.95" customHeight="1" x14ac:dyDescent="0.4">
      <c r="A522" s="2" t="s">
        <v>1301</v>
      </c>
      <c r="B522" s="1" t="s">
        <v>1211</v>
      </c>
      <c r="C522" s="1" t="str">
        <f t="shared" si="15"/>
        <v>尾道市平原1-10-23</v>
      </c>
      <c r="D522" s="1" t="s">
        <v>30</v>
      </c>
      <c r="E522" s="3">
        <v>47087</v>
      </c>
      <c r="F522" s="2"/>
    </row>
    <row r="523" spans="1:6" ht="24.95" customHeight="1" x14ac:dyDescent="0.4">
      <c r="A523" s="2" t="s">
        <v>1261</v>
      </c>
      <c r="B523" s="1" t="s">
        <v>1211</v>
      </c>
      <c r="C523" s="1" t="str">
        <f t="shared" si="15"/>
        <v>尾道市平原1-10-23</v>
      </c>
      <c r="D523" s="1" t="s">
        <v>531</v>
      </c>
      <c r="E523" s="3">
        <v>47087</v>
      </c>
      <c r="F523" s="2"/>
    </row>
    <row r="524" spans="1:6" ht="24.95" customHeight="1" x14ac:dyDescent="0.4">
      <c r="A524" s="2" t="s">
        <v>1303</v>
      </c>
      <c r="B524" s="1" t="s">
        <v>1211</v>
      </c>
      <c r="C524" s="1" t="str">
        <f t="shared" si="15"/>
        <v>尾道市平原1-10-23</v>
      </c>
      <c r="D524" s="1" t="s">
        <v>324</v>
      </c>
      <c r="E524" s="3">
        <v>47087</v>
      </c>
      <c r="F524" s="2"/>
    </row>
    <row r="525" spans="1:6" ht="24.95" customHeight="1" x14ac:dyDescent="0.4">
      <c r="A525" s="2" t="s">
        <v>1003</v>
      </c>
      <c r="B525" s="1" t="s">
        <v>1211</v>
      </c>
      <c r="C525" s="1" t="str">
        <f t="shared" si="15"/>
        <v>尾道市平原1-10-23</v>
      </c>
      <c r="D525" s="1" t="s">
        <v>296</v>
      </c>
      <c r="E525" s="3">
        <v>47087</v>
      </c>
      <c r="F525" s="2"/>
    </row>
    <row r="526" spans="1:6" ht="24.95" customHeight="1" x14ac:dyDescent="0.4">
      <c r="A526" s="2" t="s">
        <v>238</v>
      </c>
      <c r="B526" s="1" t="s">
        <v>1211</v>
      </c>
      <c r="C526" s="1" t="str">
        <f t="shared" si="15"/>
        <v>尾道市平原1-10-23</v>
      </c>
      <c r="D526" s="1" t="s">
        <v>104</v>
      </c>
      <c r="E526" s="3">
        <v>47087</v>
      </c>
      <c r="F526" s="2"/>
    </row>
    <row r="527" spans="1:6" ht="24.95" customHeight="1" x14ac:dyDescent="0.4">
      <c r="A527" s="2" t="s">
        <v>15</v>
      </c>
      <c r="B527" s="1" t="s">
        <v>1211</v>
      </c>
      <c r="C527" s="1" t="str">
        <f t="shared" si="15"/>
        <v>尾道市平原1-10-23</v>
      </c>
      <c r="D527" s="1" t="s">
        <v>139</v>
      </c>
      <c r="E527" s="3">
        <v>47087</v>
      </c>
      <c r="F527" s="2"/>
    </row>
    <row r="528" spans="1:6" ht="24.95" customHeight="1" x14ac:dyDescent="0.4">
      <c r="A528" s="2" t="s">
        <v>1502</v>
      </c>
      <c r="B528" s="1" t="s">
        <v>1211</v>
      </c>
      <c r="C528" s="1" t="str">
        <f t="shared" si="15"/>
        <v>尾道市平原1-10-23</v>
      </c>
      <c r="D528" s="1" t="s">
        <v>286</v>
      </c>
      <c r="E528" s="3">
        <v>47087</v>
      </c>
      <c r="F528" s="2"/>
    </row>
    <row r="529" spans="1:6" ht="24.95" customHeight="1" x14ac:dyDescent="0.4">
      <c r="A529" s="2" t="s">
        <v>221</v>
      </c>
      <c r="B529" s="1" t="s">
        <v>1211</v>
      </c>
      <c r="C529" s="1" t="str">
        <f t="shared" si="15"/>
        <v>尾道市平原1-10-23</v>
      </c>
      <c r="D529" s="1" t="s">
        <v>1027</v>
      </c>
      <c r="E529" s="3">
        <v>47087</v>
      </c>
      <c r="F529" s="2"/>
    </row>
    <row r="530" spans="1:6" ht="24.95" customHeight="1" x14ac:dyDescent="0.4">
      <c r="A530" s="2" t="s">
        <v>1861</v>
      </c>
      <c r="B530" s="1" t="s">
        <v>1211</v>
      </c>
      <c r="C530" s="1" t="str">
        <f t="shared" si="15"/>
        <v>尾道市平原1-10-23</v>
      </c>
      <c r="D530" s="1" t="s">
        <v>88</v>
      </c>
      <c r="E530" s="3">
        <v>47087</v>
      </c>
      <c r="F530" s="2"/>
    </row>
    <row r="531" spans="1:6" ht="24.95" customHeight="1" x14ac:dyDescent="0.4">
      <c r="A531" s="2" t="s">
        <v>1899</v>
      </c>
      <c r="B531" s="1" t="s">
        <v>1211</v>
      </c>
      <c r="C531" s="1" t="str">
        <f t="shared" si="15"/>
        <v>尾道市平原1-10-23</v>
      </c>
      <c r="D531" s="1" t="s">
        <v>30</v>
      </c>
      <c r="E531" s="3">
        <v>47087</v>
      </c>
      <c r="F531" s="2"/>
    </row>
    <row r="532" spans="1:6" ht="24.95" customHeight="1" x14ac:dyDescent="0.4">
      <c r="A532" s="2" t="s">
        <v>2004</v>
      </c>
      <c r="B532" s="1" t="s">
        <v>1211</v>
      </c>
      <c r="C532" s="1" t="str">
        <f t="shared" si="15"/>
        <v>尾道市平原1-10-23</v>
      </c>
      <c r="D532" s="1" t="s">
        <v>179</v>
      </c>
      <c r="E532" s="3">
        <v>47087</v>
      </c>
      <c r="F532" s="2"/>
    </row>
    <row r="533" spans="1:6" ht="24.95" customHeight="1" x14ac:dyDescent="0.4">
      <c r="A533" s="2" t="s">
        <v>2112</v>
      </c>
      <c r="B533" s="1" t="s">
        <v>1211</v>
      </c>
      <c r="C533" s="1" t="str">
        <f t="shared" si="15"/>
        <v>尾道市平原1-10-23</v>
      </c>
      <c r="D533" s="1" t="s">
        <v>324</v>
      </c>
      <c r="E533" s="3">
        <v>47087</v>
      </c>
      <c r="F533" s="2"/>
    </row>
    <row r="534" spans="1:6" ht="24.95" customHeight="1" x14ac:dyDescent="0.4">
      <c r="A534" s="2" t="s">
        <v>1767</v>
      </c>
      <c r="B534" s="1" t="s">
        <v>1211</v>
      </c>
      <c r="C534" s="1" t="str">
        <f t="shared" si="15"/>
        <v>尾道市平原1-10-23</v>
      </c>
      <c r="D534" s="1" t="s">
        <v>122</v>
      </c>
      <c r="E534" s="3">
        <v>47087</v>
      </c>
      <c r="F534" s="2"/>
    </row>
    <row r="535" spans="1:6" ht="24.95" customHeight="1" x14ac:dyDescent="0.4">
      <c r="A535" s="2" t="s">
        <v>1704</v>
      </c>
      <c r="B535" s="1" t="s">
        <v>1211</v>
      </c>
      <c r="C535" s="1" t="str">
        <f t="shared" si="15"/>
        <v>尾道市平原1-10-23</v>
      </c>
      <c r="D535" s="1" t="s">
        <v>576</v>
      </c>
      <c r="E535" s="3">
        <v>45991</v>
      </c>
      <c r="F535" s="2"/>
    </row>
    <row r="536" spans="1:6" ht="24.95" customHeight="1" x14ac:dyDescent="0.4">
      <c r="A536" s="2" t="s">
        <v>2197</v>
      </c>
      <c r="B536" s="1" t="s">
        <v>1211</v>
      </c>
      <c r="C536" s="1" t="str">
        <f t="shared" si="15"/>
        <v>尾道市平原1-10-23</v>
      </c>
      <c r="D536" s="1" t="s">
        <v>324</v>
      </c>
      <c r="E536" s="3">
        <v>45991</v>
      </c>
      <c r="F536" s="2"/>
    </row>
    <row r="537" spans="1:6" ht="24.95" customHeight="1" x14ac:dyDescent="0.4">
      <c r="A537" s="2" t="s">
        <v>497</v>
      </c>
      <c r="B537" s="1" t="s">
        <v>1211</v>
      </c>
      <c r="C537" s="1" t="str">
        <f t="shared" si="15"/>
        <v>尾道市平原1-10-23</v>
      </c>
      <c r="D537" s="1" t="s">
        <v>104</v>
      </c>
      <c r="E537" s="3">
        <v>46356</v>
      </c>
      <c r="F537" s="2"/>
    </row>
    <row r="538" spans="1:6" ht="24.95" customHeight="1" x14ac:dyDescent="0.4">
      <c r="A538" s="2" t="s">
        <v>2314</v>
      </c>
      <c r="B538" s="1" t="s">
        <v>1211</v>
      </c>
      <c r="C538" s="1" t="str">
        <f t="shared" si="15"/>
        <v>尾道市平原1-10-23</v>
      </c>
      <c r="D538" s="1" t="s">
        <v>104</v>
      </c>
      <c r="E538" s="3">
        <v>47087</v>
      </c>
      <c r="F538" s="2"/>
    </row>
    <row r="539" spans="1:6" ht="24.95" customHeight="1" x14ac:dyDescent="0.4">
      <c r="A539" s="2" t="s">
        <v>2436</v>
      </c>
      <c r="B539" s="1" t="s">
        <v>1211</v>
      </c>
      <c r="C539" s="1" t="str">
        <f t="shared" si="15"/>
        <v>尾道市平原1-10-23</v>
      </c>
      <c r="D539" s="1" t="s">
        <v>30</v>
      </c>
      <c r="E539" s="3">
        <v>46356</v>
      </c>
      <c r="F539" s="2"/>
    </row>
    <row r="540" spans="1:6" ht="24.95" customHeight="1" x14ac:dyDescent="0.4">
      <c r="A540" s="2" t="s">
        <v>2437</v>
      </c>
      <c r="B540" s="1" t="s">
        <v>1211</v>
      </c>
      <c r="C540" s="1" t="str">
        <f t="shared" si="15"/>
        <v>尾道市平原1-10-23</v>
      </c>
      <c r="D540" s="1" t="s">
        <v>240</v>
      </c>
      <c r="E540" s="3">
        <v>46356</v>
      </c>
      <c r="F540" s="2"/>
    </row>
    <row r="541" spans="1:6" ht="24.95" customHeight="1" x14ac:dyDescent="0.4">
      <c r="A541" s="2" t="s">
        <v>1849</v>
      </c>
      <c r="B541" s="1" t="s">
        <v>1211</v>
      </c>
      <c r="C541" s="1" t="str">
        <f t="shared" si="15"/>
        <v>尾道市平原1-10-23</v>
      </c>
      <c r="D541" s="1" t="s">
        <v>30</v>
      </c>
      <c r="E541" s="3">
        <v>46356</v>
      </c>
      <c r="F541" s="2"/>
    </row>
    <row r="542" spans="1:6" ht="24.95" customHeight="1" x14ac:dyDescent="0.4">
      <c r="A542" s="2" t="s">
        <v>2297</v>
      </c>
      <c r="B542" s="1" t="s">
        <v>1211</v>
      </c>
      <c r="C542" s="1" t="str">
        <f t="shared" si="15"/>
        <v>尾道市平原1-10-23</v>
      </c>
      <c r="D542" s="1" t="s">
        <v>240</v>
      </c>
      <c r="E542" s="3">
        <v>46721</v>
      </c>
      <c r="F542" s="2"/>
    </row>
    <row r="543" spans="1:6" ht="24.95" customHeight="1" x14ac:dyDescent="0.4">
      <c r="A543" s="2" t="s">
        <v>2469</v>
      </c>
      <c r="B543" s="1" t="s">
        <v>1211</v>
      </c>
      <c r="C543" s="1" t="str">
        <f t="shared" si="15"/>
        <v>尾道市平原1-10-23</v>
      </c>
      <c r="D543" s="1" t="s">
        <v>2470</v>
      </c>
      <c r="E543" s="3">
        <v>46721</v>
      </c>
      <c r="F543" s="2"/>
    </row>
    <row r="544" spans="1:6" ht="24.95" customHeight="1" x14ac:dyDescent="0.4">
      <c r="A544" s="2" t="s">
        <v>2055</v>
      </c>
      <c r="B544" s="1" t="s">
        <v>1211</v>
      </c>
      <c r="C544" s="1" t="str">
        <f t="shared" si="15"/>
        <v>尾道市平原1-10-23</v>
      </c>
      <c r="D544" s="1" t="s">
        <v>179</v>
      </c>
      <c r="E544" s="3">
        <v>46721</v>
      </c>
      <c r="F544" s="2"/>
    </row>
    <row r="545" spans="1:6" ht="24.95" customHeight="1" x14ac:dyDescent="0.4">
      <c r="A545" s="2" t="s">
        <v>2476</v>
      </c>
      <c r="B545" s="1" t="s">
        <v>1211</v>
      </c>
      <c r="C545" s="1" t="str">
        <f t="shared" si="15"/>
        <v>尾道市平原1-10-23</v>
      </c>
      <c r="D545" s="1" t="s">
        <v>122</v>
      </c>
      <c r="E545" s="3">
        <v>46721</v>
      </c>
      <c r="F545" s="2"/>
    </row>
    <row r="546" spans="1:6" ht="24.95" customHeight="1" x14ac:dyDescent="0.4">
      <c r="A546" s="2" t="s">
        <v>2500</v>
      </c>
      <c r="B546" s="1" t="s">
        <v>1211</v>
      </c>
      <c r="C546" s="1" t="str">
        <f t="shared" si="15"/>
        <v>尾道市平原1-10-23</v>
      </c>
      <c r="D546" s="1" t="s">
        <v>531</v>
      </c>
      <c r="E546" s="3">
        <v>46721</v>
      </c>
      <c r="F546" s="2"/>
    </row>
    <row r="547" spans="1:6" ht="24.95" customHeight="1" x14ac:dyDescent="0.4">
      <c r="A547" s="2" t="s">
        <v>2504</v>
      </c>
      <c r="B547" s="1" t="s">
        <v>1211</v>
      </c>
      <c r="C547" s="1" t="str">
        <f t="shared" si="15"/>
        <v>尾道市平原1-10-23</v>
      </c>
      <c r="D547" s="1" t="s">
        <v>179</v>
      </c>
      <c r="E547" s="3">
        <v>46721</v>
      </c>
      <c r="F547" s="2"/>
    </row>
    <row r="548" spans="1:6" ht="24.95" customHeight="1" x14ac:dyDescent="0.4">
      <c r="A548" s="2" t="s">
        <v>2512</v>
      </c>
      <c r="B548" s="1" t="s">
        <v>1211</v>
      </c>
      <c r="C548" s="1" t="str">
        <f t="shared" si="15"/>
        <v>尾道市平原1-10-23</v>
      </c>
      <c r="D548" s="1" t="s">
        <v>67</v>
      </c>
      <c r="E548" s="3">
        <v>47087</v>
      </c>
      <c r="F548" s="2"/>
    </row>
    <row r="549" spans="1:6" ht="24.95" customHeight="1" x14ac:dyDescent="0.4">
      <c r="A549" s="2" t="s">
        <v>1814</v>
      </c>
      <c r="B549" s="1" t="s">
        <v>1211</v>
      </c>
      <c r="C549" s="1" t="str">
        <f t="shared" si="15"/>
        <v>尾道市平原1-10-23</v>
      </c>
      <c r="D549" s="1" t="s">
        <v>88</v>
      </c>
      <c r="E549" s="3">
        <v>47087</v>
      </c>
      <c r="F549" s="2"/>
    </row>
    <row r="550" spans="1:6" ht="24.95" customHeight="1" x14ac:dyDescent="0.4">
      <c r="A550" s="2" t="s">
        <v>2161</v>
      </c>
      <c r="B550" s="1" t="s">
        <v>1211</v>
      </c>
      <c r="C550" s="1" t="str">
        <f t="shared" si="15"/>
        <v>尾道市平原1-10-23</v>
      </c>
      <c r="D550" s="1" t="s">
        <v>104</v>
      </c>
      <c r="E550" s="3">
        <v>47087</v>
      </c>
      <c r="F550" s="2"/>
    </row>
    <row r="551" spans="1:6" ht="24.95" customHeight="1" x14ac:dyDescent="0.4">
      <c r="A551" s="2" t="s">
        <v>2525</v>
      </c>
      <c r="B551" s="1" t="s">
        <v>1211</v>
      </c>
      <c r="C551" s="1" t="str">
        <f t="shared" si="15"/>
        <v>尾道市平原1-10-23</v>
      </c>
      <c r="D551" s="1" t="s">
        <v>104</v>
      </c>
      <c r="E551" s="3">
        <v>47087</v>
      </c>
      <c r="F551" s="2"/>
    </row>
    <row r="552" spans="1:6" ht="24.95" customHeight="1" x14ac:dyDescent="0.4">
      <c r="A552" s="2" t="s">
        <v>2526</v>
      </c>
      <c r="B552" s="1" t="s">
        <v>1211</v>
      </c>
      <c r="C552" s="1" t="str">
        <f t="shared" si="15"/>
        <v>尾道市平原1-10-23</v>
      </c>
      <c r="D552" s="1" t="s">
        <v>104</v>
      </c>
      <c r="E552" s="3">
        <v>47087</v>
      </c>
      <c r="F552" s="2"/>
    </row>
    <row r="553" spans="1:6" ht="24.95" customHeight="1" x14ac:dyDescent="0.4">
      <c r="A553" s="2" t="s">
        <v>2081</v>
      </c>
      <c r="B553" s="1" t="s">
        <v>2082</v>
      </c>
      <c r="C553" s="1" t="str">
        <f>"尾道市平原2-21-29"</f>
        <v>尾道市平原2-21-29</v>
      </c>
      <c r="D553" s="1" t="s">
        <v>209</v>
      </c>
      <c r="E553" s="3">
        <v>47087</v>
      </c>
      <c r="F553" s="2"/>
    </row>
    <row r="554" spans="1:6" ht="24.95" customHeight="1" x14ac:dyDescent="0.4">
      <c r="A554" s="2" t="s">
        <v>2230</v>
      </c>
      <c r="B554" s="1" t="s">
        <v>2082</v>
      </c>
      <c r="C554" s="1" t="str">
        <f>"尾道市平原2-21-29"</f>
        <v>尾道市平原2-21-29</v>
      </c>
      <c r="D554" s="1" t="s">
        <v>30</v>
      </c>
      <c r="E554" s="3">
        <v>46356</v>
      </c>
      <c r="F554" s="2"/>
    </row>
    <row r="555" spans="1:6" ht="24.95" customHeight="1" x14ac:dyDescent="0.4">
      <c r="A555" s="2" t="s">
        <v>2682</v>
      </c>
      <c r="B555" s="1" t="s">
        <v>1950</v>
      </c>
      <c r="C555" s="1" t="str">
        <f>"尾道市門田町1-43"</f>
        <v>尾道市門田町1-43</v>
      </c>
      <c r="D555" s="1" t="s">
        <v>1819</v>
      </c>
      <c r="E555" s="3">
        <v>47087</v>
      </c>
      <c r="F555" s="2"/>
    </row>
    <row r="556" spans="1:6" ht="24.95" customHeight="1" x14ac:dyDescent="0.4">
      <c r="A556" s="2" t="s">
        <v>92</v>
      </c>
      <c r="B556" s="1" t="s">
        <v>95</v>
      </c>
      <c r="C556" s="1" t="s">
        <v>566</v>
      </c>
      <c r="D556" s="1" t="s">
        <v>30</v>
      </c>
      <c r="E556" s="3">
        <v>47087</v>
      </c>
      <c r="F556" s="2"/>
    </row>
    <row r="557" spans="1:6" ht="24.95" customHeight="1" x14ac:dyDescent="0.4">
      <c r="A557" s="2" t="s">
        <v>1827</v>
      </c>
      <c r="B557" s="1" t="s">
        <v>1791</v>
      </c>
      <c r="C557" s="1" t="str">
        <f>"福山市伊勢丘3-3-1"</f>
        <v>福山市伊勢丘3-3-1</v>
      </c>
      <c r="D557" s="1" t="s">
        <v>950</v>
      </c>
      <c r="E557" s="3">
        <v>47087</v>
      </c>
      <c r="F557" s="2"/>
    </row>
    <row r="558" spans="1:6" ht="24.95" customHeight="1" x14ac:dyDescent="0.4">
      <c r="A558" s="2" t="s">
        <v>313</v>
      </c>
      <c r="B558" s="1" t="s">
        <v>1625</v>
      </c>
      <c r="C558" s="1" t="str">
        <f>"福山市伊勢丘5-1-30"</f>
        <v>福山市伊勢丘5-1-30</v>
      </c>
      <c r="D558" s="1" t="s">
        <v>1776</v>
      </c>
      <c r="E558" s="3">
        <v>47087</v>
      </c>
      <c r="F558" s="2"/>
    </row>
    <row r="559" spans="1:6" ht="24.95" customHeight="1" x14ac:dyDescent="0.4">
      <c r="A559" s="2" t="s">
        <v>2684</v>
      </c>
      <c r="B559" s="1" t="s">
        <v>1523</v>
      </c>
      <c r="C559" s="1" t="str">
        <f>"福山市伊勢丘5-6-1"</f>
        <v>福山市伊勢丘5-6-1</v>
      </c>
      <c r="D559" s="1" t="s">
        <v>30</v>
      </c>
      <c r="E559" s="3">
        <v>47087</v>
      </c>
      <c r="F559" s="2"/>
    </row>
    <row r="560" spans="1:6" ht="24.95" customHeight="1" x14ac:dyDescent="0.4">
      <c r="A560" s="2" t="s">
        <v>2763</v>
      </c>
      <c r="B560" s="1" t="s">
        <v>294</v>
      </c>
      <c r="C560" s="1" t="str">
        <f>"福山市伊勢丘6-1-26"</f>
        <v>福山市伊勢丘6-1-26</v>
      </c>
      <c r="D560" s="1" t="s">
        <v>139</v>
      </c>
      <c r="E560" s="3">
        <v>46721</v>
      </c>
      <c r="F560" s="2"/>
    </row>
    <row r="561" spans="1:6" ht="24.95" customHeight="1" x14ac:dyDescent="0.4">
      <c r="A561" s="2" t="s">
        <v>1564</v>
      </c>
      <c r="B561" s="1" t="s">
        <v>1565</v>
      </c>
      <c r="C561" s="1" t="str">
        <f>"福山市伊勢丘6-1-30"</f>
        <v>福山市伊勢丘6-1-30</v>
      </c>
      <c r="D561" s="1" t="s">
        <v>775</v>
      </c>
      <c r="E561" s="3">
        <v>47087</v>
      </c>
      <c r="F561" s="2"/>
    </row>
    <row r="562" spans="1:6" ht="24.95" customHeight="1" x14ac:dyDescent="0.4">
      <c r="A562" s="2" t="s">
        <v>251</v>
      </c>
      <c r="B562" s="1" t="s">
        <v>646</v>
      </c>
      <c r="C562" s="1" t="str">
        <f>"福山市伊勢丘6-1-33"</f>
        <v>福山市伊勢丘6-1-33</v>
      </c>
      <c r="D562" s="1" t="s">
        <v>324</v>
      </c>
      <c r="E562" s="3">
        <v>47087</v>
      </c>
      <c r="F562" s="2"/>
    </row>
    <row r="563" spans="1:6" ht="24.95" customHeight="1" x14ac:dyDescent="0.4">
      <c r="A563" s="2" t="s">
        <v>2732</v>
      </c>
      <c r="B563" s="1" t="s">
        <v>2737</v>
      </c>
      <c r="C563" s="1" t="str">
        <f>"福山市引野町1-19-30"</f>
        <v>福山市引野町1-19-30</v>
      </c>
      <c r="D563" s="1" t="s">
        <v>192</v>
      </c>
      <c r="E563" s="3">
        <v>47087</v>
      </c>
      <c r="F563" s="2"/>
    </row>
    <row r="564" spans="1:6" ht="24.95" customHeight="1" x14ac:dyDescent="0.4">
      <c r="A564" s="2" t="s">
        <v>1141</v>
      </c>
      <c r="B564" s="1" t="s">
        <v>1142</v>
      </c>
      <c r="C564" s="1" t="str">
        <f>"福山市引野町2-20-17"</f>
        <v>福山市引野町2-20-17</v>
      </c>
      <c r="D564" s="1" t="s">
        <v>1143</v>
      </c>
      <c r="E564" s="3">
        <v>47087</v>
      </c>
      <c r="F564" s="2"/>
    </row>
    <row r="565" spans="1:6" ht="24.95" customHeight="1" x14ac:dyDescent="0.4">
      <c r="A565" s="2" t="s">
        <v>1144</v>
      </c>
      <c r="B565" s="1" t="s">
        <v>1142</v>
      </c>
      <c r="C565" s="1" t="str">
        <f>"福山市引野町2-20-17"</f>
        <v>福山市引野町2-20-17</v>
      </c>
      <c r="D565" s="1" t="s">
        <v>139</v>
      </c>
      <c r="E565" s="3">
        <v>47087</v>
      </c>
      <c r="F565" s="2"/>
    </row>
    <row r="566" spans="1:6" ht="24.95" customHeight="1" x14ac:dyDescent="0.4">
      <c r="A566" s="2" t="s">
        <v>360</v>
      </c>
      <c r="B566" s="1" t="s">
        <v>136</v>
      </c>
      <c r="C566" s="1" t="str">
        <f>"福山市引野町5-9-21"</f>
        <v>福山市引野町5-9-21</v>
      </c>
      <c r="D566" s="1" t="s">
        <v>693</v>
      </c>
      <c r="E566" s="3">
        <v>47087</v>
      </c>
      <c r="F566" s="2"/>
    </row>
    <row r="567" spans="1:6" ht="24.95" customHeight="1" x14ac:dyDescent="0.4">
      <c r="A567" s="2" t="s">
        <v>2327</v>
      </c>
      <c r="B567" s="1" t="s">
        <v>136</v>
      </c>
      <c r="C567" s="1" t="str">
        <f>"福山市引野町5-9-21"</f>
        <v>福山市引野町5-9-21</v>
      </c>
      <c r="D567" s="1" t="s">
        <v>346</v>
      </c>
      <c r="E567" s="3">
        <v>47087</v>
      </c>
      <c r="F567" s="2"/>
    </row>
    <row r="568" spans="1:6" ht="24.95" customHeight="1" x14ac:dyDescent="0.4">
      <c r="A568" s="2" t="s">
        <v>1079</v>
      </c>
      <c r="B568" s="1" t="s">
        <v>136</v>
      </c>
      <c r="C568" s="1" t="str">
        <f>"福山市引野町5-9-21"</f>
        <v>福山市引野町5-9-21</v>
      </c>
      <c r="D568" s="1" t="s">
        <v>1573</v>
      </c>
      <c r="E568" s="3">
        <v>47087</v>
      </c>
      <c r="F568" s="2"/>
    </row>
    <row r="569" spans="1:6" ht="24.95" customHeight="1" x14ac:dyDescent="0.4">
      <c r="A569" s="2" t="s">
        <v>2735</v>
      </c>
      <c r="B569" s="1" t="s">
        <v>136</v>
      </c>
      <c r="C569" s="1" t="str">
        <f>"福山市引野町5-9-21"</f>
        <v>福山市引野町5-9-21</v>
      </c>
      <c r="D569" s="1" t="s">
        <v>30</v>
      </c>
      <c r="E569" s="3">
        <v>47087</v>
      </c>
      <c r="F569" s="2"/>
    </row>
    <row r="570" spans="1:6" ht="24.95" customHeight="1" x14ac:dyDescent="0.4">
      <c r="A570" s="2" t="s">
        <v>2571</v>
      </c>
      <c r="B570" s="1" t="s">
        <v>2666</v>
      </c>
      <c r="C570" s="1" t="s">
        <v>1077</v>
      </c>
      <c r="D570" s="1" t="s">
        <v>1960</v>
      </c>
      <c r="E570" s="3">
        <v>47087</v>
      </c>
      <c r="F570" s="2"/>
    </row>
    <row r="571" spans="1:6" ht="24.95" customHeight="1" x14ac:dyDescent="0.4">
      <c r="A571" s="2" t="s">
        <v>1189</v>
      </c>
      <c r="B571" s="1" t="s">
        <v>2754</v>
      </c>
      <c r="C571" s="1" t="str">
        <f>"福山市駅家町近田234-2"</f>
        <v>福山市駅家町近田234-2</v>
      </c>
      <c r="D571" s="1" t="s">
        <v>154</v>
      </c>
      <c r="E571" s="3">
        <v>45991</v>
      </c>
      <c r="F571" s="2"/>
    </row>
    <row r="572" spans="1:6" ht="24.95" customHeight="1" x14ac:dyDescent="0.4">
      <c r="A572" s="2" t="s">
        <v>307</v>
      </c>
      <c r="B572" s="1" t="s">
        <v>535</v>
      </c>
      <c r="C572" s="1" t="str">
        <f>"福山市駅家町近田234-2-2F"</f>
        <v>福山市駅家町近田234-2-2F</v>
      </c>
      <c r="D572" s="1" t="s">
        <v>503</v>
      </c>
      <c r="E572" s="3">
        <v>45991</v>
      </c>
      <c r="F572" s="2"/>
    </row>
    <row r="573" spans="1:6" ht="24.95" customHeight="1" x14ac:dyDescent="0.4">
      <c r="A573" s="2" t="s">
        <v>2536</v>
      </c>
      <c r="B573" s="1" t="s">
        <v>244</v>
      </c>
      <c r="C573" s="1" t="str">
        <f>"福山市駅家町向永谷666-3"</f>
        <v>福山市駅家町向永谷666-3</v>
      </c>
      <c r="D573" s="1" t="s">
        <v>2537</v>
      </c>
      <c r="E573" s="3">
        <v>45991</v>
      </c>
      <c r="F573" s="2"/>
    </row>
    <row r="574" spans="1:6" ht="24.95" customHeight="1" x14ac:dyDescent="0.4">
      <c r="A574" s="2" t="s">
        <v>207</v>
      </c>
      <c r="B574" s="1" t="s">
        <v>1886</v>
      </c>
      <c r="C574" s="1" t="s">
        <v>2774</v>
      </c>
      <c r="D574" s="1" t="s">
        <v>530</v>
      </c>
      <c r="E574" s="3">
        <v>47087</v>
      </c>
      <c r="F574" s="2"/>
    </row>
    <row r="575" spans="1:6" ht="24.95" customHeight="1" x14ac:dyDescent="0.4">
      <c r="A575" s="2" t="s">
        <v>89</v>
      </c>
      <c r="B575" s="1" t="s">
        <v>1062</v>
      </c>
      <c r="C575" s="1" t="s">
        <v>2775</v>
      </c>
      <c r="D575" s="1" t="s">
        <v>139</v>
      </c>
      <c r="E575" s="3">
        <v>47087</v>
      </c>
      <c r="F575" s="2"/>
    </row>
    <row r="576" spans="1:6" ht="24.95" customHeight="1" x14ac:dyDescent="0.4">
      <c r="A576" s="2" t="s">
        <v>600</v>
      </c>
      <c r="B576" s="1" t="s">
        <v>1062</v>
      </c>
      <c r="C576" s="1" t="s">
        <v>2775</v>
      </c>
      <c r="D576" s="1" t="s">
        <v>240</v>
      </c>
      <c r="E576" s="3">
        <v>47087</v>
      </c>
      <c r="F576" s="2"/>
    </row>
    <row r="577" spans="1:6" ht="24.95" customHeight="1" x14ac:dyDescent="0.4">
      <c r="A577" s="2" t="s">
        <v>683</v>
      </c>
      <c r="B577" s="1" t="s">
        <v>1062</v>
      </c>
      <c r="C577" s="1" t="s">
        <v>2775</v>
      </c>
      <c r="D577" s="1" t="s">
        <v>30</v>
      </c>
      <c r="E577" s="3">
        <v>47087</v>
      </c>
      <c r="F577" s="2"/>
    </row>
    <row r="578" spans="1:6" ht="24.95" customHeight="1" x14ac:dyDescent="0.4">
      <c r="A578" s="2" t="s">
        <v>885</v>
      </c>
      <c r="B578" s="1" t="s">
        <v>1062</v>
      </c>
      <c r="C578" s="1" t="s">
        <v>2775</v>
      </c>
      <c r="D578" s="1" t="s">
        <v>576</v>
      </c>
      <c r="E578" s="3">
        <v>47087</v>
      </c>
      <c r="F578" s="2"/>
    </row>
    <row r="579" spans="1:6" ht="24.95" customHeight="1" x14ac:dyDescent="0.4">
      <c r="A579" s="2" t="s">
        <v>1069</v>
      </c>
      <c r="B579" s="1" t="s">
        <v>1062</v>
      </c>
      <c r="C579" s="1" t="s">
        <v>2775</v>
      </c>
      <c r="D579" s="1" t="s">
        <v>79</v>
      </c>
      <c r="E579" s="3">
        <v>47087</v>
      </c>
      <c r="F579" s="2"/>
    </row>
    <row r="580" spans="1:6" ht="24.95" customHeight="1" x14ac:dyDescent="0.4">
      <c r="A580" s="2" t="s">
        <v>1611</v>
      </c>
      <c r="B580" s="1" t="s">
        <v>1062</v>
      </c>
      <c r="C580" s="1" t="s">
        <v>2775</v>
      </c>
      <c r="D580" s="1" t="s">
        <v>576</v>
      </c>
      <c r="E580" s="3">
        <v>47087</v>
      </c>
      <c r="F580" s="2"/>
    </row>
    <row r="581" spans="1:6" ht="24.95" customHeight="1" x14ac:dyDescent="0.4">
      <c r="A581" s="2" t="s">
        <v>806</v>
      </c>
      <c r="B581" s="1" t="s">
        <v>1764</v>
      </c>
      <c r="C581" s="1" t="str">
        <f>"福山市駅家町上山守450-5"</f>
        <v>福山市駅家町上山守450-5</v>
      </c>
      <c r="D581" s="1" t="s">
        <v>759</v>
      </c>
      <c r="E581" s="3">
        <v>47087</v>
      </c>
      <c r="F581" s="2"/>
    </row>
    <row r="582" spans="1:6" ht="24.95" customHeight="1" x14ac:dyDescent="0.4">
      <c r="A582" s="2" t="s">
        <v>2348</v>
      </c>
      <c r="B582" s="1" t="s">
        <v>2349</v>
      </c>
      <c r="C582" s="1" t="str">
        <f>"福山市駅家町倉光156-1"</f>
        <v>福山市駅家町倉光156-1</v>
      </c>
      <c r="D582" s="1" t="s">
        <v>88</v>
      </c>
      <c r="E582" s="3">
        <v>47087</v>
      </c>
      <c r="F582" s="2"/>
    </row>
    <row r="583" spans="1:6" ht="24.95" customHeight="1" x14ac:dyDescent="0.4">
      <c r="A583" s="2" t="s">
        <v>2312</v>
      </c>
      <c r="B583" s="1" t="s">
        <v>2313</v>
      </c>
      <c r="C583" s="1" t="s">
        <v>2776</v>
      </c>
      <c r="D583" s="1" t="s">
        <v>242</v>
      </c>
      <c r="E583" s="3">
        <v>47087</v>
      </c>
      <c r="F583" s="2"/>
    </row>
    <row r="584" spans="1:6" ht="24.95" customHeight="1" x14ac:dyDescent="0.4">
      <c r="A584" s="2" t="s">
        <v>300</v>
      </c>
      <c r="B584" s="1" t="s">
        <v>418</v>
      </c>
      <c r="C584" s="1" t="s">
        <v>419</v>
      </c>
      <c r="D584" s="1" t="s">
        <v>335</v>
      </c>
      <c r="E584" s="3">
        <v>47087</v>
      </c>
      <c r="F584" s="2"/>
    </row>
    <row r="585" spans="1:6" ht="24.95" customHeight="1" x14ac:dyDescent="0.4">
      <c r="A585" s="2" t="s">
        <v>2486</v>
      </c>
      <c r="B585" s="1" t="s">
        <v>418</v>
      </c>
      <c r="C585" s="1" t="s">
        <v>419</v>
      </c>
      <c r="D585" s="1" t="s">
        <v>30</v>
      </c>
      <c r="E585" s="3">
        <v>46721</v>
      </c>
      <c r="F585" s="2"/>
    </row>
    <row r="586" spans="1:6" ht="24.95" customHeight="1" x14ac:dyDescent="0.4">
      <c r="A586" s="2" t="s">
        <v>2731</v>
      </c>
      <c r="B586" s="1" t="s">
        <v>418</v>
      </c>
      <c r="C586" s="1" t="s">
        <v>419</v>
      </c>
      <c r="D586" s="1" t="s">
        <v>30</v>
      </c>
      <c r="E586" s="3">
        <v>46356</v>
      </c>
      <c r="F586" s="2"/>
    </row>
    <row r="587" spans="1:6" ht="24.95" customHeight="1" x14ac:dyDescent="0.4">
      <c r="A587" s="2" t="s">
        <v>120</v>
      </c>
      <c r="B587" s="1" t="s">
        <v>356</v>
      </c>
      <c r="C587" s="1" t="str">
        <f>"福山市駅家町法成寺4-1"</f>
        <v>福山市駅家町法成寺4-1</v>
      </c>
      <c r="D587" s="1" t="s">
        <v>158</v>
      </c>
      <c r="E587" s="3">
        <v>47087</v>
      </c>
      <c r="F587" s="2"/>
    </row>
    <row r="588" spans="1:6" ht="24.95" customHeight="1" x14ac:dyDescent="0.4">
      <c r="A588" s="2" t="s">
        <v>1941</v>
      </c>
      <c r="B588" s="1" t="s">
        <v>2223</v>
      </c>
      <c r="C588" s="1" t="str">
        <f>"福山市駅家町坊寺58-1"</f>
        <v>福山市駅家町坊寺58-1</v>
      </c>
      <c r="D588" s="1" t="s">
        <v>30</v>
      </c>
      <c r="E588" s="3">
        <v>45991</v>
      </c>
      <c r="F588" s="2"/>
    </row>
    <row r="589" spans="1:6" ht="24.95" customHeight="1" x14ac:dyDescent="0.4">
      <c r="A589" s="2" t="s">
        <v>874</v>
      </c>
      <c r="B589" s="1" t="s">
        <v>1056</v>
      </c>
      <c r="C589" s="1" t="str">
        <f>"福山市駅家町万能倉1245-4"</f>
        <v>福山市駅家町万能倉1245-4</v>
      </c>
      <c r="D589" s="1" t="s">
        <v>30</v>
      </c>
      <c r="E589" s="3">
        <v>47087</v>
      </c>
      <c r="F589" s="2"/>
    </row>
    <row r="590" spans="1:6" ht="24.95" customHeight="1" x14ac:dyDescent="0.4">
      <c r="A590" s="2" t="s">
        <v>2027</v>
      </c>
      <c r="B590" s="1" t="s">
        <v>2028</v>
      </c>
      <c r="C590" s="1" t="str">
        <f>"福山市駅家町万能倉910-15"</f>
        <v>福山市駅家町万能倉910-15</v>
      </c>
      <c r="D590" s="1" t="s">
        <v>104</v>
      </c>
      <c r="E590" s="3">
        <v>47087</v>
      </c>
      <c r="F590" s="2"/>
    </row>
    <row r="591" spans="1:6" ht="24.95" customHeight="1" x14ac:dyDescent="0.4">
      <c r="A591" s="2" t="s">
        <v>1674</v>
      </c>
      <c r="B591" s="1" t="s">
        <v>1633</v>
      </c>
      <c r="C591" s="1" t="str">
        <f>"福山市横尾町1-21-8"</f>
        <v>福山市横尾町1-21-8</v>
      </c>
      <c r="D591" s="1" t="s">
        <v>67</v>
      </c>
      <c r="E591" s="3">
        <v>47087</v>
      </c>
      <c r="F591" s="2"/>
    </row>
    <row r="592" spans="1:6" ht="24.95" customHeight="1" x14ac:dyDescent="0.4">
      <c r="A592" s="2" t="s">
        <v>941</v>
      </c>
      <c r="B592" s="1" t="s">
        <v>799</v>
      </c>
      <c r="C592" s="1" t="str">
        <f>"福山市王子町2-14-11"</f>
        <v>福山市王子町2-14-11</v>
      </c>
      <c r="D592" s="1" t="s">
        <v>240</v>
      </c>
      <c r="E592" s="3">
        <v>47087</v>
      </c>
      <c r="F592" s="2"/>
    </row>
    <row r="593" spans="1:6" ht="24.95" customHeight="1" x14ac:dyDescent="0.4">
      <c r="A593" s="2" t="s">
        <v>548</v>
      </c>
      <c r="B593" s="1" t="s">
        <v>170</v>
      </c>
      <c r="C593" s="1" t="str">
        <f>"福山市沖野上町3-1-17"</f>
        <v>福山市沖野上町3-1-17</v>
      </c>
      <c r="D593" s="1" t="s">
        <v>576</v>
      </c>
      <c r="E593" s="3">
        <v>47087</v>
      </c>
      <c r="F593" s="2"/>
    </row>
    <row r="594" spans="1:6" ht="24.95" customHeight="1" x14ac:dyDescent="0.4">
      <c r="A594" s="2" t="s">
        <v>2303</v>
      </c>
      <c r="B594" s="1" t="s">
        <v>170</v>
      </c>
      <c r="C594" s="1" t="str">
        <f>"福山市沖野上町3-1-17"</f>
        <v>福山市沖野上町3-1-17</v>
      </c>
      <c r="D594" s="1" t="s">
        <v>67</v>
      </c>
      <c r="E594" s="3">
        <v>46721</v>
      </c>
      <c r="F594" s="2"/>
    </row>
    <row r="595" spans="1:6" ht="24.95" customHeight="1" x14ac:dyDescent="0.4">
      <c r="A595" s="2" t="s">
        <v>532</v>
      </c>
      <c r="B595" s="1" t="s">
        <v>1361</v>
      </c>
      <c r="C595" s="1" t="str">
        <f>"福山市沖野上町3-1-17"</f>
        <v>福山市沖野上町3-1-17</v>
      </c>
      <c r="D595" s="1" t="s">
        <v>30</v>
      </c>
      <c r="E595" s="3">
        <v>47087</v>
      </c>
      <c r="F595" s="2"/>
    </row>
    <row r="596" spans="1:6" ht="24.95" customHeight="1" x14ac:dyDescent="0.4">
      <c r="A596" s="2" t="s">
        <v>2035</v>
      </c>
      <c r="B596" s="1" t="s">
        <v>2036</v>
      </c>
      <c r="C596" s="1" t="str">
        <f>"福山市沖野上町3-4-13"</f>
        <v>福山市沖野上町3-4-13</v>
      </c>
      <c r="D596" s="1" t="s">
        <v>183</v>
      </c>
      <c r="E596" s="3">
        <v>47087</v>
      </c>
      <c r="F596" s="2"/>
    </row>
    <row r="597" spans="1:6" ht="24.95" customHeight="1" x14ac:dyDescent="0.4">
      <c r="A597" s="2" t="s">
        <v>2085</v>
      </c>
      <c r="B597" s="1" t="s">
        <v>2036</v>
      </c>
      <c r="C597" s="1" t="str">
        <f>"福山市沖野上町3-4-13"</f>
        <v>福山市沖野上町3-4-13</v>
      </c>
      <c r="D597" s="1" t="s">
        <v>88</v>
      </c>
      <c r="E597" s="3">
        <v>45626</v>
      </c>
      <c r="F597" s="2"/>
    </row>
    <row r="598" spans="1:6" ht="24.95" customHeight="1" x14ac:dyDescent="0.4">
      <c r="A598" s="2" t="s">
        <v>1729</v>
      </c>
      <c r="B598" s="1" t="s">
        <v>2036</v>
      </c>
      <c r="C598" s="1" t="str">
        <f>"福山市沖野上町3-4-13"</f>
        <v>福山市沖野上町3-4-13</v>
      </c>
      <c r="D598" s="1" t="s">
        <v>970</v>
      </c>
      <c r="E598" s="3">
        <v>46356</v>
      </c>
      <c r="F598" s="2"/>
    </row>
    <row r="599" spans="1:6" ht="24.95" customHeight="1" x14ac:dyDescent="0.4">
      <c r="A599" s="2" t="s">
        <v>2459</v>
      </c>
      <c r="B599" s="1" t="s">
        <v>2036</v>
      </c>
      <c r="C599" s="1" t="str">
        <f>"福山市沖野上町3-4-13"</f>
        <v>福山市沖野上町3-4-13</v>
      </c>
      <c r="D599" s="1" t="s">
        <v>970</v>
      </c>
      <c r="E599" s="3">
        <v>46356</v>
      </c>
      <c r="F599" s="2"/>
    </row>
    <row r="600" spans="1:6" ht="24.95" customHeight="1" x14ac:dyDescent="0.4">
      <c r="A600" s="2" t="s">
        <v>876</v>
      </c>
      <c r="B600" s="1" t="s">
        <v>409</v>
      </c>
      <c r="C600" s="1" t="str">
        <f t="shared" ref="C600:C626" si="16">"福山市沖野上町3-6-28"</f>
        <v>福山市沖野上町3-6-28</v>
      </c>
      <c r="D600" s="1" t="s">
        <v>79</v>
      </c>
      <c r="E600" s="3">
        <v>47087</v>
      </c>
      <c r="F600" s="2"/>
    </row>
    <row r="601" spans="1:6" ht="24.95" customHeight="1" x14ac:dyDescent="0.4">
      <c r="A601" s="2" t="s">
        <v>1419</v>
      </c>
      <c r="B601" s="1" t="s">
        <v>409</v>
      </c>
      <c r="C601" s="1" t="str">
        <f t="shared" si="16"/>
        <v>福山市沖野上町3-6-28</v>
      </c>
      <c r="D601" s="1" t="s">
        <v>700</v>
      </c>
      <c r="E601" s="3">
        <v>47087</v>
      </c>
      <c r="F601" s="2"/>
    </row>
    <row r="602" spans="1:6" ht="24.95" customHeight="1" x14ac:dyDescent="0.4">
      <c r="A602" s="2" t="s">
        <v>1090</v>
      </c>
      <c r="B602" s="1" t="s">
        <v>409</v>
      </c>
      <c r="C602" s="1" t="str">
        <f t="shared" si="16"/>
        <v>福山市沖野上町3-6-28</v>
      </c>
      <c r="D602" s="1" t="s">
        <v>700</v>
      </c>
      <c r="E602" s="3">
        <v>47087</v>
      </c>
      <c r="F602" s="2"/>
    </row>
    <row r="603" spans="1:6" ht="24.95" customHeight="1" x14ac:dyDescent="0.4">
      <c r="A603" s="2" t="s">
        <v>1424</v>
      </c>
      <c r="B603" s="1" t="s">
        <v>409</v>
      </c>
      <c r="C603" s="1" t="str">
        <f t="shared" si="16"/>
        <v>福山市沖野上町3-6-28</v>
      </c>
      <c r="D603" s="1" t="s">
        <v>700</v>
      </c>
      <c r="E603" s="3">
        <v>47087</v>
      </c>
      <c r="F603" s="2"/>
    </row>
    <row r="604" spans="1:6" ht="24.95" customHeight="1" x14ac:dyDescent="0.4">
      <c r="A604" s="2" t="s">
        <v>282</v>
      </c>
      <c r="B604" s="1" t="s">
        <v>409</v>
      </c>
      <c r="C604" s="1" t="str">
        <f t="shared" si="16"/>
        <v>福山市沖野上町3-6-28</v>
      </c>
      <c r="D604" s="1" t="s">
        <v>700</v>
      </c>
      <c r="E604" s="3">
        <v>47087</v>
      </c>
      <c r="F604" s="2"/>
    </row>
    <row r="605" spans="1:6" ht="24.95" customHeight="1" x14ac:dyDescent="0.4">
      <c r="A605" s="2" t="s">
        <v>494</v>
      </c>
      <c r="B605" s="1" t="s">
        <v>409</v>
      </c>
      <c r="C605" s="1" t="str">
        <f t="shared" si="16"/>
        <v>福山市沖野上町3-6-28</v>
      </c>
      <c r="D605" s="1" t="s">
        <v>122</v>
      </c>
      <c r="E605" s="3">
        <v>47087</v>
      </c>
      <c r="F605" s="2"/>
    </row>
    <row r="606" spans="1:6" ht="24.95" customHeight="1" x14ac:dyDescent="0.4">
      <c r="A606" s="2" t="s">
        <v>823</v>
      </c>
      <c r="B606" s="1" t="s">
        <v>409</v>
      </c>
      <c r="C606" s="1" t="str">
        <f t="shared" si="16"/>
        <v>福山市沖野上町3-6-28</v>
      </c>
      <c r="D606" s="1" t="s">
        <v>122</v>
      </c>
      <c r="E606" s="3">
        <v>47087</v>
      </c>
      <c r="F606" s="2"/>
    </row>
    <row r="607" spans="1:6" ht="24.95" customHeight="1" x14ac:dyDescent="0.4">
      <c r="A607" s="2" t="s">
        <v>62</v>
      </c>
      <c r="B607" s="1" t="s">
        <v>409</v>
      </c>
      <c r="C607" s="1" t="str">
        <f t="shared" si="16"/>
        <v>福山市沖野上町3-6-28</v>
      </c>
      <c r="D607" s="1" t="s">
        <v>1426</v>
      </c>
      <c r="E607" s="3">
        <v>47087</v>
      </c>
      <c r="F607" s="2"/>
    </row>
    <row r="608" spans="1:6" ht="24.95" customHeight="1" x14ac:dyDescent="0.4">
      <c r="A608" s="2" t="s">
        <v>99</v>
      </c>
      <c r="B608" s="1" t="s">
        <v>409</v>
      </c>
      <c r="C608" s="1" t="str">
        <f t="shared" si="16"/>
        <v>福山市沖野上町3-6-28</v>
      </c>
      <c r="D608" s="1" t="s">
        <v>1426</v>
      </c>
      <c r="E608" s="3">
        <v>47087</v>
      </c>
      <c r="F608" s="2"/>
    </row>
    <row r="609" spans="1:6" ht="24.95" customHeight="1" x14ac:dyDescent="0.4">
      <c r="A609" s="2" t="s">
        <v>894</v>
      </c>
      <c r="B609" s="1" t="s">
        <v>409</v>
      </c>
      <c r="C609" s="1" t="str">
        <f t="shared" si="16"/>
        <v>福山市沖野上町3-6-28</v>
      </c>
      <c r="D609" s="1" t="s">
        <v>678</v>
      </c>
      <c r="E609" s="3">
        <v>47087</v>
      </c>
      <c r="F609" s="2"/>
    </row>
    <row r="610" spans="1:6" ht="24.95" customHeight="1" x14ac:dyDescent="0.4">
      <c r="A610" s="2" t="s">
        <v>705</v>
      </c>
      <c r="B610" s="1" t="s">
        <v>409</v>
      </c>
      <c r="C610" s="1" t="str">
        <f t="shared" si="16"/>
        <v>福山市沖野上町3-6-28</v>
      </c>
      <c r="D610" s="1" t="s">
        <v>678</v>
      </c>
      <c r="E610" s="3">
        <v>47087</v>
      </c>
      <c r="F610" s="2"/>
    </row>
    <row r="611" spans="1:6" ht="24.95" customHeight="1" x14ac:dyDescent="0.4">
      <c r="A611" s="2" t="s">
        <v>1290</v>
      </c>
      <c r="B611" s="1" t="s">
        <v>409</v>
      </c>
      <c r="C611" s="1" t="str">
        <f t="shared" si="16"/>
        <v>福山市沖野上町3-6-28</v>
      </c>
      <c r="D611" s="1" t="s">
        <v>240</v>
      </c>
      <c r="E611" s="3">
        <v>47087</v>
      </c>
      <c r="F611" s="2"/>
    </row>
    <row r="612" spans="1:6" ht="24.95" customHeight="1" x14ac:dyDescent="0.4">
      <c r="A612" s="2" t="s">
        <v>1129</v>
      </c>
      <c r="B612" s="1" t="s">
        <v>409</v>
      </c>
      <c r="C612" s="1" t="str">
        <f t="shared" si="16"/>
        <v>福山市沖野上町3-6-28</v>
      </c>
      <c r="D612" s="1" t="s">
        <v>335</v>
      </c>
      <c r="E612" s="3">
        <v>47087</v>
      </c>
      <c r="F612" s="2"/>
    </row>
    <row r="613" spans="1:6" ht="24.95" customHeight="1" x14ac:dyDescent="0.4">
      <c r="A613" s="2" t="s">
        <v>1201</v>
      </c>
      <c r="B613" s="1" t="s">
        <v>409</v>
      </c>
      <c r="C613" s="1" t="str">
        <f t="shared" si="16"/>
        <v>福山市沖野上町3-6-28</v>
      </c>
      <c r="D613" s="1" t="s">
        <v>240</v>
      </c>
      <c r="E613" s="3">
        <v>47087</v>
      </c>
      <c r="F613" s="2"/>
    </row>
    <row r="614" spans="1:6" ht="24.95" customHeight="1" x14ac:dyDescent="0.4">
      <c r="A614" s="2" t="s">
        <v>2204</v>
      </c>
      <c r="B614" s="1" t="s">
        <v>409</v>
      </c>
      <c r="C614" s="1" t="str">
        <f t="shared" si="16"/>
        <v>福山市沖野上町3-6-28</v>
      </c>
      <c r="D614" s="1" t="s">
        <v>700</v>
      </c>
      <c r="E614" s="3">
        <v>45991</v>
      </c>
      <c r="F614" s="2"/>
    </row>
    <row r="615" spans="1:6" ht="24.95" customHeight="1" x14ac:dyDescent="0.4">
      <c r="A615" s="2" t="s">
        <v>500</v>
      </c>
      <c r="B615" s="1" t="s">
        <v>409</v>
      </c>
      <c r="C615" s="1" t="str">
        <f t="shared" si="16"/>
        <v>福山市沖野上町3-6-28</v>
      </c>
      <c r="D615" s="1" t="s">
        <v>79</v>
      </c>
      <c r="E615" s="3">
        <v>46356</v>
      </c>
      <c r="F615" s="2"/>
    </row>
    <row r="616" spans="1:6" ht="24.95" customHeight="1" x14ac:dyDescent="0.4">
      <c r="A616" s="2" t="s">
        <v>2257</v>
      </c>
      <c r="B616" s="1" t="s">
        <v>409</v>
      </c>
      <c r="C616" s="1" t="str">
        <f t="shared" si="16"/>
        <v>福山市沖野上町3-6-28</v>
      </c>
      <c r="D616" s="1" t="s">
        <v>324</v>
      </c>
      <c r="E616" s="3">
        <v>45991</v>
      </c>
      <c r="F616" s="2"/>
    </row>
    <row r="617" spans="1:6" ht="24.95" customHeight="1" x14ac:dyDescent="0.4">
      <c r="A617" s="2" t="s">
        <v>2258</v>
      </c>
      <c r="B617" s="1" t="s">
        <v>409</v>
      </c>
      <c r="C617" s="1" t="str">
        <f t="shared" si="16"/>
        <v>福山市沖野上町3-6-28</v>
      </c>
      <c r="D617" s="1" t="s">
        <v>335</v>
      </c>
      <c r="E617" s="3">
        <v>46356</v>
      </c>
      <c r="F617" s="2"/>
    </row>
    <row r="618" spans="1:6" ht="24.95" customHeight="1" x14ac:dyDescent="0.4">
      <c r="A618" s="2" t="s">
        <v>2301</v>
      </c>
      <c r="B618" s="1" t="s">
        <v>409</v>
      </c>
      <c r="C618" s="1" t="str">
        <f t="shared" si="16"/>
        <v>福山市沖野上町3-6-28</v>
      </c>
      <c r="D618" s="1" t="s">
        <v>79</v>
      </c>
      <c r="E618" s="3">
        <v>46721</v>
      </c>
      <c r="F618" s="2"/>
    </row>
    <row r="619" spans="1:6" ht="24.95" customHeight="1" x14ac:dyDescent="0.4">
      <c r="A619" s="2" t="s">
        <v>2323</v>
      </c>
      <c r="B619" s="1" t="s">
        <v>409</v>
      </c>
      <c r="C619" s="1" t="str">
        <f t="shared" si="16"/>
        <v>福山市沖野上町3-6-28</v>
      </c>
      <c r="D619" s="1" t="s">
        <v>700</v>
      </c>
      <c r="E619" s="3">
        <v>47087</v>
      </c>
      <c r="F619" s="2"/>
    </row>
    <row r="620" spans="1:6" ht="24.95" customHeight="1" x14ac:dyDescent="0.4">
      <c r="A620" s="2" t="s">
        <v>778</v>
      </c>
      <c r="B620" s="1" t="s">
        <v>409</v>
      </c>
      <c r="C620" s="1" t="str">
        <f t="shared" si="16"/>
        <v>福山市沖野上町3-6-28</v>
      </c>
      <c r="D620" s="1" t="s">
        <v>700</v>
      </c>
      <c r="E620" s="3">
        <v>45991</v>
      </c>
      <c r="F620" s="2"/>
    </row>
    <row r="621" spans="1:6" ht="24.95" customHeight="1" x14ac:dyDescent="0.4">
      <c r="A621" s="2" t="s">
        <v>1809</v>
      </c>
      <c r="B621" s="1" t="s">
        <v>409</v>
      </c>
      <c r="C621" s="1" t="str">
        <f t="shared" si="16"/>
        <v>福山市沖野上町3-6-28</v>
      </c>
      <c r="D621" s="1" t="s">
        <v>700</v>
      </c>
      <c r="E621" s="3">
        <v>45991</v>
      </c>
      <c r="F621" s="2"/>
    </row>
    <row r="622" spans="1:6" ht="24.95" customHeight="1" x14ac:dyDescent="0.4">
      <c r="A622" s="2" t="s">
        <v>2393</v>
      </c>
      <c r="B622" s="1" t="s">
        <v>409</v>
      </c>
      <c r="C622" s="1" t="str">
        <f t="shared" si="16"/>
        <v>福山市沖野上町3-6-28</v>
      </c>
      <c r="D622" s="1" t="s">
        <v>700</v>
      </c>
      <c r="E622" s="3">
        <v>45991</v>
      </c>
      <c r="F622" s="2"/>
    </row>
    <row r="623" spans="1:6" ht="24.95" customHeight="1" x14ac:dyDescent="0.4">
      <c r="A623" s="2" t="s">
        <v>2409</v>
      </c>
      <c r="B623" s="1" t="s">
        <v>409</v>
      </c>
      <c r="C623" s="1" t="str">
        <f t="shared" si="16"/>
        <v>福山市沖野上町3-6-28</v>
      </c>
      <c r="D623" s="1" t="s">
        <v>122</v>
      </c>
      <c r="E623" s="3">
        <v>45991</v>
      </c>
      <c r="F623" s="2"/>
    </row>
    <row r="624" spans="1:6" ht="24.95" customHeight="1" x14ac:dyDescent="0.4">
      <c r="A624" s="2" t="s">
        <v>2503</v>
      </c>
      <c r="B624" s="1" t="s">
        <v>409</v>
      </c>
      <c r="C624" s="1" t="str">
        <f t="shared" si="16"/>
        <v>福山市沖野上町3-6-28</v>
      </c>
      <c r="D624" s="1" t="s">
        <v>122</v>
      </c>
      <c r="E624" s="3">
        <v>46721</v>
      </c>
      <c r="F624" s="2"/>
    </row>
    <row r="625" spans="1:6" ht="24.95" customHeight="1" x14ac:dyDescent="0.4">
      <c r="A625" s="2" t="s">
        <v>2516</v>
      </c>
      <c r="B625" s="1" t="s">
        <v>409</v>
      </c>
      <c r="C625" s="1" t="str">
        <f t="shared" si="16"/>
        <v>福山市沖野上町3-6-28</v>
      </c>
      <c r="D625" s="1" t="s">
        <v>1426</v>
      </c>
      <c r="E625" s="3">
        <v>47087</v>
      </c>
      <c r="F625" s="2"/>
    </row>
    <row r="626" spans="1:6" ht="24.95" customHeight="1" x14ac:dyDescent="0.4">
      <c r="A626" s="2" t="s">
        <v>2397</v>
      </c>
      <c r="B626" s="1" t="s">
        <v>409</v>
      </c>
      <c r="C626" s="1" t="str">
        <f t="shared" si="16"/>
        <v>福山市沖野上町3-6-28</v>
      </c>
      <c r="D626" s="1" t="s">
        <v>700</v>
      </c>
      <c r="E626" s="3">
        <v>46356</v>
      </c>
      <c r="F626" s="2"/>
    </row>
    <row r="627" spans="1:6" ht="24.95" customHeight="1" x14ac:dyDescent="0.4">
      <c r="A627" s="2" t="s">
        <v>1470</v>
      </c>
      <c r="B627" s="1" t="s">
        <v>1593</v>
      </c>
      <c r="C627" s="1" t="str">
        <f t="shared" ref="C627:C665" si="17">"福山市沖野上町4-14-17"</f>
        <v>福山市沖野上町4-14-17</v>
      </c>
      <c r="D627" s="1" t="s">
        <v>794</v>
      </c>
      <c r="E627" s="3">
        <v>47087</v>
      </c>
      <c r="F627" s="2"/>
    </row>
    <row r="628" spans="1:6" ht="24.95" customHeight="1" x14ac:dyDescent="0.4">
      <c r="A628" s="2" t="s">
        <v>1583</v>
      </c>
      <c r="B628" s="1" t="s">
        <v>1593</v>
      </c>
      <c r="C628" s="1" t="str">
        <f t="shared" si="17"/>
        <v>福山市沖野上町4-14-17</v>
      </c>
      <c r="D628" s="1" t="s">
        <v>1585</v>
      </c>
      <c r="E628" s="3">
        <v>47087</v>
      </c>
      <c r="F628" s="2"/>
    </row>
    <row r="629" spans="1:6" ht="24.95" customHeight="1" x14ac:dyDescent="0.4">
      <c r="A629" s="2" t="s">
        <v>1461</v>
      </c>
      <c r="B629" s="1" t="s">
        <v>1593</v>
      </c>
      <c r="C629" s="1" t="str">
        <f t="shared" si="17"/>
        <v>福山市沖野上町4-14-17</v>
      </c>
      <c r="D629" s="1" t="s">
        <v>240</v>
      </c>
      <c r="E629" s="3">
        <v>47087</v>
      </c>
      <c r="F629" s="2"/>
    </row>
    <row r="630" spans="1:6" ht="24.95" customHeight="1" x14ac:dyDescent="0.4">
      <c r="A630" s="2" t="s">
        <v>1587</v>
      </c>
      <c r="B630" s="1" t="s">
        <v>1593</v>
      </c>
      <c r="C630" s="1" t="str">
        <f t="shared" si="17"/>
        <v>福山市沖野上町4-14-17</v>
      </c>
      <c r="D630" s="1" t="s">
        <v>687</v>
      </c>
      <c r="E630" s="3">
        <v>47087</v>
      </c>
      <c r="F630" s="2"/>
    </row>
    <row r="631" spans="1:6" ht="24.95" customHeight="1" x14ac:dyDescent="0.4">
      <c r="A631" s="2" t="s">
        <v>1589</v>
      </c>
      <c r="B631" s="1" t="s">
        <v>1593</v>
      </c>
      <c r="C631" s="1" t="str">
        <f t="shared" si="17"/>
        <v>福山市沖野上町4-14-17</v>
      </c>
      <c r="D631" s="1" t="s">
        <v>30</v>
      </c>
      <c r="E631" s="3">
        <v>47087</v>
      </c>
      <c r="F631" s="2"/>
    </row>
    <row r="632" spans="1:6" ht="24.95" customHeight="1" x14ac:dyDescent="0.4">
      <c r="A632" s="2" t="s">
        <v>533</v>
      </c>
      <c r="B632" s="1" t="s">
        <v>1593</v>
      </c>
      <c r="C632" s="1" t="str">
        <f t="shared" si="17"/>
        <v>福山市沖野上町4-14-17</v>
      </c>
      <c r="D632" s="1" t="s">
        <v>104</v>
      </c>
      <c r="E632" s="3">
        <v>47087</v>
      </c>
      <c r="F632" s="2"/>
    </row>
    <row r="633" spans="1:6" ht="24.95" customHeight="1" x14ac:dyDescent="0.4">
      <c r="A633" s="2" t="s">
        <v>1591</v>
      </c>
      <c r="B633" s="1" t="s">
        <v>1593</v>
      </c>
      <c r="C633" s="1" t="str">
        <f t="shared" si="17"/>
        <v>福山市沖野上町4-14-17</v>
      </c>
      <c r="D633" s="1" t="s">
        <v>1592</v>
      </c>
      <c r="E633" s="3">
        <v>47087</v>
      </c>
      <c r="F633" s="2"/>
    </row>
    <row r="634" spans="1:6" ht="24.95" customHeight="1" x14ac:dyDescent="0.4">
      <c r="A634" s="2" t="s">
        <v>1596</v>
      </c>
      <c r="B634" s="1" t="s">
        <v>1593</v>
      </c>
      <c r="C634" s="1" t="str">
        <f t="shared" si="17"/>
        <v>福山市沖野上町4-14-17</v>
      </c>
      <c r="D634" s="1" t="s">
        <v>1597</v>
      </c>
      <c r="E634" s="3">
        <v>47087</v>
      </c>
      <c r="F634" s="2"/>
    </row>
    <row r="635" spans="1:6" ht="24.95" customHeight="1" x14ac:dyDescent="0.4">
      <c r="A635" s="2" t="s">
        <v>1319</v>
      </c>
      <c r="B635" s="1" t="s">
        <v>1593</v>
      </c>
      <c r="C635" s="1" t="str">
        <f t="shared" si="17"/>
        <v>福山市沖野上町4-14-17</v>
      </c>
      <c r="D635" s="1" t="s">
        <v>955</v>
      </c>
      <c r="E635" s="3">
        <v>47087</v>
      </c>
      <c r="F635" s="2"/>
    </row>
    <row r="636" spans="1:6" ht="24.95" customHeight="1" x14ac:dyDescent="0.4">
      <c r="A636" s="2" t="s">
        <v>1600</v>
      </c>
      <c r="B636" s="1" t="s">
        <v>1593</v>
      </c>
      <c r="C636" s="1" t="str">
        <f t="shared" si="17"/>
        <v>福山市沖野上町4-14-17</v>
      </c>
      <c r="D636" s="1" t="s">
        <v>1601</v>
      </c>
      <c r="E636" s="3">
        <v>47087</v>
      </c>
      <c r="F636" s="2"/>
    </row>
    <row r="637" spans="1:6" ht="24.95" customHeight="1" x14ac:dyDescent="0.4">
      <c r="A637" s="2" t="s">
        <v>371</v>
      </c>
      <c r="B637" s="1" t="s">
        <v>1593</v>
      </c>
      <c r="C637" s="1" t="str">
        <f t="shared" si="17"/>
        <v>福山市沖野上町4-14-17</v>
      </c>
      <c r="D637" s="1" t="s">
        <v>1592</v>
      </c>
      <c r="E637" s="3">
        <v>47087</v>
      </c>
      <c r="F637" s="2"/>
    </row>
    <row r="638" spans="1:6" ht="24.95" customHeight="1" x14ac:dyDescent="0.4">
      <c r="A638" s="2" t="s">
        <v>918</v>
      </c>
      <c r="B638" s="1" t="s">
        <v>1593</v>
      </c>
      <c r="C638" s="1" t="str">
        <f t="shared" si="17"/>
        <v>福山市沖野上町4-14-17</v>
      </c>
      <c r="D638" s="1" t="s">
        <v>179</v>
      </c>
      <c r="E638" s="3">
        <v>47087</v>
      </c>
      <c r="F638" s="2"/>
    </row>
    <row r="639" spans="1:6" ht="24.95" customHeight="1" x14ac:dyDescent="0.4">
      <c r="A639" s="2" t="s">
        <v>1602</v>
      </c>
      <c r="B639" s="1" t="s">
        <v>1593</v>
      </c>
      <c r="C639" s="1" t="str">
        <f t="shared" si="17"/>
        <v>福山市沖野上町4-14-17</v>
      </c>
      <c r="D639" s="1" t="s">
        <v>183</v>
      </c>
      <c r="E639" s="3">
        <v>47087</v>
      </c>
      <c r="F639" s="2"/>
    </row>
    <row r="640" spans="1:6" ht="24.95" customHeight="1" x14ac:dyDescent="0.4">
      <c r="A640" s="2" t="s">
        <v>1604</v>
      </c>
      <c r="B640" s="1" t="s">
        <v>1593</v>
      </c>
      <c r="C640" s="1" t="str">
        <f t="shared" si="17"/>
        <v>福山市沖野上町4-14-17</v>
      </c>
      <c r="D640" s="1" t="s">
        <v>576</v>
      </c>
      <c r="E640" s="3">
        <v>47087</v>
      </c>
      <c r="F640" s="2"/>
    </row>
    <row r="641" spans="1:6" ht="24.95" customHeight="1" x14ac:dyDescent="0.4">
      <c r="A641" s="2" t="s">
        <v>1605</v>
      </c>
      <c r="B641" s="1" t="s">
        <v>1593</v>
      </c>
      <c r="C641" s="1" t="str">
        <f t="shared" si="17"/>
        <v>福山市沖野上町4-14-17</v>
      </c>
      <c r="D641" s="1" t="s">
        <v>133</v>
      </c>
      <c r="E641" s="3">
        <v>47087</v>
      </c>
      <c r="F641" s="2"/>
    </row>
    <row r="642" spans="1:6" ht="24.95" customHeight="1" x14ac:dyDescent="0.4">
      <c r="A642" s="2" t="s">
        <v>243</v>
      </c>
      <c r="B642" s="1" t="s">
        <v>1593</v>
      </c>
      <c r="C642" s="1" t="str">
        <f t="shared" si="17"/>
        <v>福山市沖野上町4-14-17</v>
      </c>
      <c r="D642" s="1" t="s">
        <v>240</v>
      </c>
      <c r="E642" s="3">
        <v>47087</v>
      </c>
      <c r="F642" s="2"/>
    </row>
    <row r="643" spans="1:6" ht="24.95" customHeight="1" x14ac:dyDescent="0.4">
      <c r="A643" s="2" t="s">
        <v>1607</v>
      </c>
      <c r="B643" s="1" t="s">
        <v>1593</v>
      </c>
      <c r="C643" s="1" t="str">
        <f t="shared" si="17"/>
        <v>福山市沖野上町4-14-17</v>
      </c>
      <c r="D643" s="1" t="s">
        <v>179</v>
      </c>
      <c r="E643" s="3">
        <v>47087</v>
      </c>
      <c r="F643" s="2"/>
    </row>
    <row r="644" spans="1:6" ht="24.95" customHeight="1" x14ac:dyDescent="0.4">
      <c r="A644" s="2" t="s">
        <v>1540</v>
      </c>
      <c r="B644" s="1" t="s">
        <v>1593</v>
      </c>
      <c r="C644" s="1" t="str">
        <f t="shared" si="17"/>
        <v>福山市沖野上町4-14-17</v>
      </c>
      <c r="D644" s="1" t="s">
        <v>1409</v>
      </c>
      <c r="E644" s="3">
        <v>47087</v>
      </c>
      <c r="F644" s="2"/>
    </row>
    <row r="645" spans="1:6" ht="24.95" customHeight="1" x14ac:dyDescent="0.4">
      <c r="A645" s="2" t="s">
        <v>1608</v>
      </c>
      <c r="B645" s="1" t="s">
        <v>1593</v>
      </c>
      <c r="C645" s="1" t="str">
        <f t="shared" si="17"/>
        <v>福山市沖野上町4-14-17</v>
      </c>
      <c r="D645" s="1" t="s">
        <v>324</v>
      </c>
      <c r="E645" s="3">
        <v>47087</v>
      </c>
      <c r="F645" s="2"/>
    </row>
    <row r="646" spans="1:6" ht="24.95" customHeight="1" x14ac:dyDescent="0.4">
      <c r="A646" s="2" t="s">
        <v>833</v>
      </c>
      <c r="B646" s="1" t="s">
        <v>1593</v>
      </c>
      <c r="C646" s="1" t="str">
        <f t="shared" si="17"/>
        <v>福山市沖野上町4-14-17</v>
      </c>
      <c r="D646" s="1" t="s">
        <v>176</v>
      </c>
      <c r="E646" s="3">
        <v>47087</v>
      </c>
      <c r="F646" s="2"/>
    </row>
    <row r="647" spans="1:6" ht="24.95" customHeight="1" x14ac:dyDescent="0.4">
      <c r="A647" s="2" t="s">
        <v>1244</v>
      </c>
      <c r="B647" s="1" t="s">
        <v>1593</v>
      </c>
      <c r="C647" s="1" t="str">
        <f t="shared" si="17"/>
        <v>福山市沖野上町4-14-17</v>
      </c>
      <c r="D647" s="1" t="s">
        <v>324</v>
      </c>
      <c r="E647" s="3">
        <v>47087</v>
      </c>
      <c r="F647" s="2"/>
    </row>
    <row r="648" spans="1:6" ht="24.95" customHeight="1" x14ac:dyDescent="0.4">
      <c r="A648" s="2" t="s">
        <v>1528</v>
      </c>
      <c r="B648" s="1" t="s">
        <v>1593</v>
      </c>
      <c r="C648" s="1" t="str">
        <f t="shared" si="17"/>
        <v>福山市沖野上町4-14-17</v>
      </c>
      <c r="D648" s="1" t="s">
        <v>1586</v>
      </c>
      <c r="E648" s="3">
        <v>47087</v>
      </c>
      <c r="F648" s="2"/>
    </row>
    <row r="649" spans="1:6" ht="24.95" customHeight="1" x14ac:dyDescent="0.4">
      <c r="A649" s="2" t="s">
        <v>1694</v>
      </c>
      <c r="B649" s="1" t="s">
        <v>1593</v>
      </c>
      <c r="C649" s="1" t="str">
        <f t="shared" si="17"/>
        <v>福山市沖野上町4-14-17</v>
      </c>
      <c r="D649" s="1" t="s">
        <v>104</v>
      </c>
      <c r="E649" s="3">
        <v>47087</v>
      </c>
      <c r="F649" s="2"/>
    </row>
    <row r="650" spans="1:6" ht="24.95" customHeight="1" x14ac:dyDescent="0.4">
      <c r="A650" s="2" t="s">
        <v>77</v>
      </c>
      <c r="B650" s="1" t="s">
        <v>1593</v>
      </c>
      <c r="C650" s="1" t="str">
        <f t="shared" si="17"/>
        <v>福山市沖野上町4-14-17</v>
      </c>
      <c r="D650" s="1" t="s">
        <v>324</v>
      </c>
      <c r="E650" s="3">
        <v>47087</v>
      </c>
      <c r="F650" s="2"/>
    </row>
    <row r="651" spans="1:6" ht="24.95" customHeight="1" x14ac:dyDescent="0.4">
      <c r="A651" s="2" t="s">
        <v>1807</v>
      </c>
      <c r="B651" s="1" t="s">
        <v>1593</v>
      </c>
      <c r="C651" s="1" t="str">
        <f t="shared" si="17"/>
        <v>福山市沖野上町4-14-17</v>
      </c>
      <c r="D651" s="1" t="s">
        <v>1951</v>
      </c>
      <c r="E651" s="3">
        <v>47087</v>
      </c>
      <c r="F651" s="2"/>
    </row>
    <row r="652" spans="1:6" ht="24.95" customHeight="1" x14ac:dyDescent="0.4">
      <c r="A652" s="2" t="s">
        <v>1952</v>
      </c>
      <c r="B652" s="1" t="s">
        <v>1593</v>
      </c>
      <c r="C652" s="1" t="str">
        <f t="shared" si="17"/>
        <v>福山市沖野上町4-14-17</v>
      </c>
      <c r="D652" s="1" t="s">
        <v>531</v>
      </c>
      <c r="E652" s="3">
        <v>47087</v>
      </c>
      <c r="F652" s="2"/>
    </row>
    <row r="653" spans="1:6" ht="24.95" customHeight="1" x14ac:dyDescent="0.4">
      <c r="A653" s="2" t="s">
        <v>1620</v>
      </c>
      <c r="B653" s="1" t="s">
        <v>1593</v>
      </c>
      <c r="C653" s="1" t="str">
        <f t="shared" si="17"/>
        <v>福山市沖野上町4-14-17</v>
      </c>
      <c r="D653" s="1" t="s">
        <v>179</v>
      </c>
      <c r="E653" s="3">
        <v>47087</v>
      </c>
      <c r="F653" s="2"/>
    </row>
    <row r="654" spans="1:6" ht="24.95" customHeight="1" x14ac:dyDescent="0.4">
      <c r="A654" s="2" t="s">
        <v>2056</v>
      </c>
      <c r="B654" s="1" t="s">
        <v>1593</v>
      </c>
      <c r="C654" s="1" t="str">
        <f t="shared" si="17"/>
        <v>福山市沖野上町4-14-17</v>
      </c>
      <c r="D654" s="1" t="s">
        <v>30</v>
      </c>
      <c r="E654" s="3">
        <v>47087</v>
      </c>
      <c r="F654" s="2"/>
    </row>
    <row r="655" spans="1:6" ht="24.95" customHeight="1" x14ac:dyDescent="0.4">
      <c r="A655" s="2" t="s">
        <v>2065</v>
      </c>
      <c r="B655" s="1" t="s">
        <v>1593</v>
      </c>
      <c r="C655" s="1" t="str">
        <f t="shared" si="17"/>
        <v>福山市沖野上町4-14-17</v>
      </c>
      <c r="D655" s="1" t="s">
        <v>104</v>
      </c>
      <c r="E655" s="3">
        <v>47087</v>
      </c>
      <c r="F655" s="2"/>
    </row>
    <row r="656" spans="1:6" ht="24.95" customHeight="1" x14ac:dyDescent="0.4">
      <c r="A656" s="2" t="s">
        <v>2067</v>
      </c>
      <c r="B656" s="1" t="s">
        <v>1593</v>
      </c>
      <c r="C656" s="1" t="str">
        <f t="shared" si="17"/>
        <v>福山市沖野上町4-14-17</v>
      </c>
      <c r="D656" s="1" t="s">
        <v>183</v>
      </c>
      <c r="E656" s="3">
        <v>47087</v>
      </c>
      <c r="F656" s="2"/>
    </row>
    <row r="657" spans="1:6" ht="24.95" customHeight="1" x14ac:dyDescent="0.4">
      <c r="A657" s="2" t="s">
        <v>928</v>
      </c>
      <c r="B657" s="1" t="s">
        <v>1593</v>
      </c>
      <c r="C657" s="1" t="str">
        <f t="shared" si="17"/>
        <v>福山市沖野上町4-14-17</v>
      </c>
      <c r="D657" s="1" t="s">
        <v>104</v>
      </c>
      <c r="E657" s="3">
        <v>47087</v>
      </c>
      <c r="F657" s="2"/>
    </row>
    <row r="658" spans="1:6" ht="24.95" customHeight="1" x14ac:dyDescent="0.4">
      <c r="A658" s="2" t="s">
        <v>2110</v>
      </c>
      <c r="B658" s="1" t="s">
        <v>1593</v>
      </c>
      <c r="C658" s="1" t="str">
        <f t="shared" si="17"/>
        <v>福山市沖野上町4-14-17</v>
      </c>
      <c r="D658" s="1" t="s">
        <v>30</v>
      </c>
      <c r="E658" s="3">
        <v>47087</v>
      </c>
      <c r="F658" s="2"/>
    </row>
    <row r="659" spans="1:6" ht="24.95" customHeight="1" x14ac:dyDescent="0.4">
      <c r="A659" s="2" t="s">
        <v>2287</v>
      </c>
      <c r="B659" s="1" t="s">
        <v>1593</v>
      </c>
      <c r="C659" s="1" t="str">
        <f t="shared" si="17"/>
        <v>福山市沖野上町4-14-17</v>
      </c>
      <c r="D659" s="1" t="s">
        <v>104</v>
      </c>
      <c r="E659" s="3">
        <v>46721</v>
      </c>
      <c r="F659" s="2"/>
    </row>
    <row r="660" spans="1:6" ht="24.95" customHeight="1" x14ac:dyDescent="0.4">
      <c r="A660" s="2" t="s">
        <v>2347</v>
      </c>
      <c r="B660" s="1" t="s">
        <v>1593</v>
      </c>
      <c r="C660" s="1" t="str">
        <f t="shared" si="17"/>
        <v>福山市沖野上町4-14-17</v>
      </c>
      <c r="D660" s="1" t="s">
        <v>179</v>
      </c>
      <c r="E660" s="3">
        <v>47087</v>
      </c>
      <c r="F660" s="2"/>
    </row>
    <row r="661" spans="1:6" ht="24.95" customHeight="1" x14ac:dyDescent="0.4">
      <c r="A661" s="2" t="s">
        <v>2384</v>
      </c>
      <c r="B661" s="1" t="s">
        <v>1593</v>
      </c>
      <c r="C661" s="1" t="str">
        <f t="shared" si="17"/>
        <v>福山市沖野上町4-14-17</v>
      </c>
      <c r="D661" s="1" t="s">
        <v>179</v>
      </c>
      <c r="E661" s="3">
        <v>45626</v>
      </c>
      <c r="F661" s="2"/>
    </row>
    <row r="662" spans="1:6" ht="24.95" customHeight="1" x14ac:dyDescent="0.4">
      <c r="A662" s="2" t="s">
        <v>2416</v>
      </c>
      <c r="B662" s="1" t="s">
        <v>1593</v>
      </c>
      <c r="C662" s="1" t="str">
        <f t="shared" si="17"/>
        <v>福山市沖野上町4-14-17</v>
      </c>
      <c r="D662" s="1" t="s">
        <v>324</v>
      </c>
      <c r="E662" s="3">
        <v>45991</v>
      </c>
      <c r="F662" s="2"/>
    </row>
    <row r="663" spans="1:6" ht="24.95" customHeight="1" x14ac:dyDescent="0.4">
      <c r="A663" s="2" t="s">
        <v>2457</v>
      </c>
      <c r="B663" s="1" t="s">
        <v>1593</v>
      </c>
      <c r="C663" s="1" t="str">
        <f t="shared" si="17"/>
        <v>福山市沖野上町4-14-17</v>
      </c>
      <c r="D663" s="1" t="s">
        <v>950</v>
      </c>
      <c r="E663" s="3">
        <v>46356</v>
      </c>
      <c r="F663" s="2"/>
    </row>
    <row r="664" spans="1:6" ht="24.95" customHeight="1" x14ac:dyDescent="0.4">
      <c r="A664" s="2" t="s">
        <v>1092</v>
      </c>
      <c r="B664" s="1" t="s">
        <v>1593</v>
      </c>
      <c r="C664" s="1" t="str">
        <f t="shared" si="17"/>
        <v>福山市沖野上町4-14-17</v>
      </c>
      <c r="D664" s="1" t="s">
        <v>179</v>
      </c>
      <c r="E664" s="3">
        <v>47087</v>
      </c>
      <c r="F664" s="2"/>
    </row>
    <row r="665" spans="1:6" ht="24.95" customHeight="1" x14ac:dyDescent="0.4">
      <c r="A665" s="2" t="s">
        <v>2620</v>
      </c>
      <c r="B665" s="1" t="s">
        <v>1593</v>
      </c>
      <c r="C665" s="1" t="str">
        <f t="shared" si="17"/>
        <v>福山市沖野上町4-14-17</v>
      </c>
      <c r="D665" s="1" t="s">
        <v>1159</v>
      </c>
      <c r="E665" s="3">
        <v>47087</v>
      </c>
      <c r="F665" s="2"/>
    </row>
    <row r="666" spans="1:6" ht="24.95" customHeight="1" x14ac:dyDescent="0.4">
      <c r="A666" s="2" t="s">
        <v>2139</v>
      </c>
      <c r="B666" s="1" t="s">
        <v>376</v>
      </c>
      <c r="C666" s="1" t="str">
        <f>"福山市沖野上町4-3-26"</f>
        <v>福山市沖野上町4-3-26</v>
      </c>
      <c r="D666" s="1" t="s">
        <v>192</v>
      </c>
      <c r="E666" s="3">
        <v>47087</v>
      </c>
      <c r="F666" s="2"/>
    </row>
    <row r="667" spans="1:6" ht="24.95" customHeight="1" x14ac:dyDescent="0.4">
      <c r="A667" s="2" t="s">
        <v>2771</v>
      </c>
      <c r="B667" s="1" t="s">
        <v>2286</v>
      </c>
      <c r="C667" s="1" t="str">
        <f>"福山市沖野上町6-11-24"</f>
        <v>福山市沖野上町6-11-24</v>
      </c>
      <c r="D667" s="1" t="s">
        <v>1984</v>
      </c>
      <c r="E667" s="3">
        <v>46721</v>
      </c>
      <c r="F667" s="2"/>
    </row>
    <row r="668" spans="1:6" ht="24.95" customHeight="1" x14ac:dyDescent="0.4">
      <c r="A668" s="2" t="s">
        <v>477</v>
      </c>
      <c r="B668" s="1" t="s">
        <v>280</v>
      </c>
      <c r="C668" s="1" t="s">
        <v>165</v>
      </c>
      <c r="D668" s="1" t="s">
        <v>279</v>
      </c>
      <c r="E668" s="3">
        <v>47087</v>
      </c>
      <c r="F668" s="2"/>
    </row>
    <row r="669" spans="1:6" ht="24.95" customHeight="1" x14ac:dyDescent="0.4">
      <c r="A669" s="2" t="s">
        <v>1306</v>
      </c>
      <c r="B669" s="1" t="s">
        <v>2554</v>
      </c>
      <c r="C669" s="1" t="str">
        <f>"福山市加茂町中野403-3"</f>
        <v>福山市加茂町中野403-3</v>
      </c>
      <c r="D669" s="1" t="s">
        <v>30</v>
      </c>
      <c r="E669" s="3">
        <v>47087</v>
      </c>
      <c r="F669" s="2"/>
    </row>
    <row r="670" spans="1:6" ht="24.95" customHeight="1" x14ac:dyDescent="0.4">
      <c r="A670" s="2" t="s">
        <v>601</v>
      </c>
      <c r="B670" s="1" t="s">
        <v>373</v>
      </c>
      <c r="C670" s="1" t="str">
        <f>"福山市花園町2-6-28"</f>
        <v>福山市花園町2-6-28</v>
      </c>
      <c r="D670" s="1" t="s">
        <v>176</v>
      </c>
      <c r="E670" s="3">
        <v>47087</v>
      </c>
      <c r="F670" s="2"/>
    </row>
    <row r="671" spans="1:6" ht="24.95" customHeight="1" x14ac:dyDescent="0.4">
      <c r="A671" s="2" t="s">
        <v>675</v>
      </c>
      <c r="B671" s="1" t="s">
        <v>224</v>
      </c>
      <c r="C671" s="1" t="str">
        <f>"福山市霞町2-4-3"</f>
        <v>福山市霞町2-4-3</v>
      </c>
      <c r="D671" s="1" t="s">
        <v>30</v>
      </c>
      <c r="E671" s="3">
        <v>47087</v>
      </c>
      <c r="F671" s="2"/>
    </row>
    <row r="672" spans="1:6" ht="24.95" customHeight="1" x14ac:dyDescent="0.4">
      <c r="A672" s="2" t="s">
        <v>177</v>
      </c>
      <c r="B672" s="1" t="s">
        <v>224</v>
      </c>
      <c r="C672" s="1" t="str">
        <f>"福山市霞町2-4-3"</f>
        <v>福山市霞町2-4-3</v>
      </c>
      <c r="D672" s="1" t="s">
        <v>179</v>
      </c>
      <c r="E672" s="3">
        <v>47087</v>
      </c>
      <c r="F672" s="2"/>
    </row>
    <row r="673" spans="1:6" ht="24.95" customHeight="1" x14ac:dyDescent="0.4">
      <c r="A673" s="2" t="s">
        <v>779</v>
      </c>
      <c r="B673" s="1" t="s">
        <v>782</v>
      </c>
      <c r="C673" s="1" t="str">
        <f>"福山市宮前町1-3-15"</f>
        <v>福山市宮前町1-3-15</v>
      </c>
      <c r="D673" s="1" t="s">
        <v>41</v>
      </c>
      <c r="E673" s="3">
        <v>47087</v>
      </c>
      <c r="F673" s="2"/>
    </row>
    <row r="674" spans="1:6" ht="24.95" customHeight="1" x14ac:dyDescent="0.4">
      <c r="A674" s="2" t="s">
        <v>2274</v>
      </c>
      <c r="B674" s="1" t="s">
        <v>782</v>
      </c>
      <c r="C674" s="1" t="str">
        <f>"福山市宮前町1-3-15"</f>
        <v>福山市宮前町1-3-15</v>
      </c>
      <c r="D674" s="1" t="s">
        <v>104</v>
      </c>
      <c r="E674" s="3">
        <v>46721</v>
      </c>
      <c r="F674" s="2"/>
    </row>
    <row r="675" spans="1:6" ht="24.95" customHeight="1" x14ac:dyDescent="0.4">
      <c r="A675" s="2" t="s">
        <v>1696</v>
      </c>
      <c r="B675" s="1" t="s">
        <v>2656</v>
      </c>
      <c r="C675" s="1" t="str">
        <f>"福山市宮前町2-6-20"</f>
        <v>福山市宮前町2-6-20</v>
      </c>
      <c r="D675" s="1" t="s">
        <v>2239</v>
      </c>
      <c r="E675" s="3">
        <v>47087</v>
      </c>
      <c r="F675" s="2"/>
    </row>
    <row r="676" spans="1:6" ht="24.95" customHeight="1" x14ac:dyDescent="0.4">
      <c r="A676" s="2" t="s">
        <v>1236</v>
      </c>
      <c r="B676" s="1" t="s">
        <v>2529</v>
      </c>
      <c r="C676" s="1" t="str">
        <f>"福山市金江町金見2879-8"</f>
        <v>福山市金江町金見2879-8</v>
      </c>
      <c r="D676" s="1" t="s">
        <v>2695</v>
      </c>
      <c r="E676" s="3">
        <v>45991</v>
      </c>
      <c r="F676" s="2"/>
    </row>
    <row r="677" spans="1:6" ht="24.95" customHeight="1" x14ac:dyDescent="0.4">
      <c r="A677" s="2" t="s">
        <v>1571</v>
      </c>
      <c r="B677" s="1" t="s">
        <v>931</v>
      </c>
      <c r="C677" s="1" t="str">
        <f>"福山市金江町藁江590-1"</f>
        <v>福山市金江町藁江590-1</v>
      </c>
      <c r="D677" s="1" t="s">
        <v>1159</v>
      </c>
      <c r="E677" s="3">
        <v>47087</v>
      </c>
      <c r="F677" s="2"/>
    </row>
    <row r="678" spans="1:6" ht="24.95" customHeight="1" x14ac:dyDescent="0.4">
      <c r="A678" s="2" t="s">
        <v>1685</v>
      </c>
      <c r="B678" s="1" t="s">
        <v>931</v>
      </c>
      <c r="C678" s="1" t="str">
        <f>"福山市金江町藁江590-1"</f>
        <v>福山市金江町藁江590-1</v>
      </c>
      <c r="D678" s="1" t="s">
        <v>1159</v>
      </c>
      <c r="E678" s="3">
        <v>47087</v>
      </c>
      <c r="F678" s="2"/>
    </row>
    <row r="679" spans="1:6" ht="24.95" customHeight="1" x14ac:dyDescent="0.4">
      <c r="A679" s="2" t="s">
        <v>2446</v>
      </c>
      <c r="B679" s="1" t="s">
        <v>931</v>
      </c>
      <c r="C679" s="1" t="str">
        <f>"福山市金江町藁江590-1"</f>
        <v>福山市金江町藁江590-1</v>
      </c>
      <c r="D679" s="1" t="s">
        <v>1159</v>
      </c>
      <c r="E679" s="3">
        <v>46356</v>
      </c>
      <c r="F679" s="2"/>
    </row>
    <row r="680" spans="1:6" ht="24.95" customHeight="1" x14ac:dyDescent="0.4">
      <c r="A680" s="2" t="s">
        <v>102</v>
      </c>
      <c r="B680" s="1" t="s">
        <v>2053</v>
      </c>
      <c r="C680" s="1" t="str">
        <f>"福山市元町7-3"</f>
        <v>福山市元町7-3</v>
      </c>
      <c r="D680" s="1" t="s">
        <v>139</v>
      </c>
      <c r="E680" s="3">
        <v>47087</v>
      </c>
      <c r="F680" s="2"/>
    </row>
    <row r="681" spans="1:6" ht="24.95" customHeight="1" x14ac:dyDescent="0.4">
      <c r="A681" s="2" t="s">
        <v>161</v>
      </c>
      <c r="B681" s="1" t="s">
        <v>84</v>
      </c>
      <c r="C681" s="1" t="str">
        <f>"福山市御幸町下岩成649-5"</f>
        <v>福山市御幸町下岩成649-5</v>
      </c>
      <c r="D681" s="1" t="s">
        <v>163</v>
      </c>
      <c r="E681" s="3">
        <v>47087</v>
      </c>
      <c r="F681" s="2"/>
    </row>
    <row r="682" spans="1:6" ht="24.95" customHeight="1" x14ac:dyDescent="0.4">
      <c r="A682" s="2" t="s">
        <v>2199</v>
      </c>
      <c r="B682" s="1" t="s">
        <v>2200</v>
      </c>
      <c r="C682" s="1" t="str">
        <f>"福山市御幸町下岩成中町316-1"</f>
        <v>福山市御幸町下岩成中町316-1</v>
      </c>
      <c r="D682" s="1" t="s">
        <v>88</v>
      </c>
      <c r="E682" s="3">
        <v>45991</v>
      </c>
      <c r="F682" s="2"/>
    </row>
    <row r="683" spans="1:6" ht="24.95" customHeight="1" x14ac:dyDescent="0.4">
      <c r="A683" s="2" t="s">
        <v>1459</v>
      </c>
      <c r="B683" s="1" t="s">
        <v>1457</v>
      </c>
      <c r="C683" s="1" t="str">
        <f t="shared" ref="C683:C716" si="18">"福山市御幸町上岩成148-13"</f>
        <v>福山市御幸町上岩成148-13</v>
      </c>
      <c r="D683" s="1" t="s">
        <v>30</v>
      </c>
      <c r="E683" s="3">
        <v>47087</v>
      </c>
      <c r="F683" s="2"/>
    </row>
    <row r="684" spans="1:6" ht="24.95" customHeight="1" x14ac:dyDescent="0.4">
      <c r="A684" s="2" t="s">
        <v>1468</v>
      </c>
      <c r="B684" s="1" t="s">
        <v>1457</v>
      </c>
      <c r="C684" s="1" t="str">
        <f t="shared" si="18"/>
        <v>福山市御幸町上岩成148-13</v>
      </c>
      <c r="D684" s="1" t="s">
        <v>104</v>
      </c>
      <c r="E684" s="3">
        <v>47087</v>
      </c>
      <c r="F684" s="2"/>
    </row>
    <row r="685" spans="1:6" ht="24.95" customHeight="1" x14ac:dyDescent="0.4">
      <c r="A685" s="2" t="s">
        <v>1469</v>
      </c>
      <c r="B685" s="1" t="s">
        <v>1457</v>
      </c>
      <c r="C685" s="1" t="str">
        <f t="shared" si="18"/>
        <v>福山市御幸町上岩成148-13</v>
      </c>
      <c r="D685" s="1" t="s">
        <v>30</v>
      </c>
      <c r="E685" s="3">
        <v>47087</v>
      </c>
      <c r="F685" s="2"/>
    </row>
    <row r="686" spans="1:6" ht="24.95" customHeight="1" x14ac:dyDescent="0.4">
      <c r="A686" s="2" t="s">
        <v>631</v>
      </c>
      <c r="B686" s="1" t="s">
        <v>1457</v>
      </c>
      <c r="C686" s="1" t="str">
        <f t="shared" si="18"/>
        <v>福山市御幸町上岩成148-13</v>
      </c>
      <c r="D686" s="1" t="s">
        <v>30</v>
      </c>
      <c r="E686" s="3">
        <v>47087</v>
      </c>
      <c r="F686" s="2"/>
    </row>
    <row r="687" spans="1:6" ht="24.95" customHeight="1" x14ac:dyDescent="0.4">
      <c r="A687" s="2" t="s">
        <v>615</v>
      </c>
      <c r="B687" s="1" t="s">
        <v>1457</v>
      </c>
      <c r="C687" s="1" t="str">
        <f t="shared" si="18"/>
        <v>福山市御幸町上岩成148-13</v>
      </c>
      <c r="D687" s="1" t="s">
        <v>324</v>
      </c>
      <c r="E687" s="3">
        <v>47087</v>
      </c>
      <c r="F687" s="2"/>
    </row>
    <row r="688" spans="1:6" ht="24.95" customHeight="1" x14ac:dyDescent="0.4">
      <c r="A688" s="2" t="s">
        <v>1474</v>
      </c>
      <c r="B688" s="1" t="s">
        <v>1457</v>
      </c>
      <c r="C688" s="1" t="str">
        <f t="shared" si="18"/>
        <v>福山市御幸町上岩成148-13</v>
      </c>
      <c r="D688" s="1" t="s">
        <v>531</v>
      </c>
      <c r="E688" s="3">
        <v>47087</v>
      </c>
      <c r="F688" s="2"/>
    </row>
    <row r="689" spans="1:6" ht="24.95" customHeight="1" x14ac:dyDescent="0.4">
      <c r="A689" s="2" t="s">
        <v>907</v>
      </c>
      <c r="B689" s="1" t="s">
        <v>1457</v>
      </c>
      <c r="C689" s="1" t="str">
        <f t="shared" si="18"/>
        <v>福山市御幸町上岩成148-13</v>
      </c>
      <c r="D689" s="1" t="s">
        <v>531</v>
      </c>
      <c r="E689" s="3">
        <v>47087</v>
      </c>
      <c r="F689" s="2"/>
    </row>
    <row r="690" spans="1:6" ht="24.95" customHeight="1" x14ac:dyDescent="0.4">
      <c r="A690" s="2" t="s">
        <v>1485</v>
      </c>
      <c r="B690" s="1" t="s">
        <v>1457</v>
      </c>
      <c r="C690" s="1" t="str">
        <f t="shared" si="18"/>
        <v>福山市御幸町上岩成148-13</v>
      </c>
      <c r="D690" s="1" t="s">
        <v>344</v>
      </c>
      <c r="E690" s="3">
        <v>47087</v>
      </c>
      <c r="F690" s="2"/>
    </row>
    <row r="691" spans="1:6" ht="24.95" customHeight="1" x14ac:dyDescent="0.4">
      <c r="A691" s="2" t="s">
        <v>1486</v>
      </c>
      <c r="B691" s="1" t="s">
        <v>1457</v>
      </c>
      <c r="C691" s="1" t="str">
        <f t="shared" si="18"/>
        <v>福山市御幸町上岩成148-13</v>
      </c>
      <c r="D691" s="1" t="s">
        <v>678</v>
      </c>
      <c r="E691" s="3">
        <v>47087</v>
      </c>
      <c r="F691" s="2"/>
    </row>
    <row r="692" spans="1:6" ht="24.95" customHeight="1" x14ac:dyDescent="0.4">
      <c r="A692" s="2" t="s">
        <v>1487</v>
      </c>
      <c r="B692" s="1" t="s">
        <v>1457</v>
      </c>
      <c r="C692" s="1" t="str">
        <f t="shared" si="18"/>
        <v>福山市御幸町上岩成148-13</v>
      </c>
      <c r="D692" s="1" t="s">
        <v>58</v>
      </c>
      <c r="E692" s="3">
        <v>47087</v>
      </c>
      <c r="F692" s="2"/>
    </row>
    <row r="693" spans="1:6" ht="24.95" customHeight="1" x14ac:dyDescent="0.4">
      <c r="A693" s="2" t="s">
        <v>1594</v>
      </c>
      <c r="B693" s="1" t="s">
        <v>1457</v>
      </c>
      <c r="C693" s="1" t="str">
        <f t="shared" si="18"/>
        <v>福山市御幸町上岩成148-13</v>
      </c>
      <c r="D693" s="1" t="s">
        <v>30</v>
      </c>
      <c r="E693" s="3">
        <v>47087</v>
      </c>
      <c r="F693" s="2"/>
    </row>
    <row r="694" spans="1:6" ht="24.95" customHeight="1" x14ac:dyDescent="0.4">
      <c r="A694" s="2" t="s">
        <v>1993</v>
      </c>
      <c r="B694" s="1" t="s">
        <v>1457</v>
      </c>
      <c r="C694" s="1" t="str">
        <f t="shared" si="18"/>
        <v>福山市御幸町上岩成148-13</v>
      </c>
      <c r="D694" s="1" t="s">
        <v>687</v>
      </c>
      <c r="E694" s="3">
        <v>47087</v>
      </c>
      <c r="F694" s="2"/>
    </row>
    <row r="695" spans="1:6" ht="24.95" customHeight="1" x14ac:dyDescent="0.4">
      <c r="A695" s="2" t="s">
        <v>1851</v>
      </c>
      <c r="B695" s="1" t="s">
        <v>1457</v>
      </c>
      <c r="C695" s="1" t="str">
        <f t="shared" si="18"/>
        <v>福山市御幸町上岩成148-13</v>
      </c>
      <c r="D695" s="1" t="s">
        <v>30</v>
      </c>
      <c r="E695" s="3">
        <v>47087</v>
      </c>
      <c r="F695" s="2"/>
    </row>
    <row r="696" spans="1:6" ht="24.95" customHeight="1" x14ac:dyDescent="0.4">
      <c r="A696" s="2" t="s">
        <v>2201</v>
      </c>
      <c r="B696" s="1" t="s">
        <v>1457</v>
      </c>
      <c r="C696" s="1" t="str">
        <f t="shared" si="18"/>
        <v>福山市御幸町上岩成148-13</v>
      </c>
      <c r="D696" s="1" t="s">
        <v>58</v>
      </c>
      <c r="E696" s="3">
        <v>45991</v>
      </c>
      <c r="F696" s="2"/>
    </row>
    <row r="697" spans="1:6" ht="24.95" customHeight="1" x14ac:dyDescent="0.4">
      <c r="A697" s="2" t="s">
        <v>1178</v>
      </c>
      <c r="B697" s="1" t="s">
        <v>1457</v>
      </c>
      <c r="C697" s="1" t="str">
        <f t="shared" si="18"/>
        <v>福山市御幸町上岩成148-13</v>
      </c>
      <c r="D697" s="1" t="s">
        <v>122</v>
      </c>
      <c r="E697" s="3">
        <v>46356</v>
      </c>
      <c r="F697" s="2"/>
    </row>
    <row r="698" spans="1:6" ht="24.95" customHeight="1" x14ac:dyDescent="0.4">
      <c r="A698" s="2" t="s">
        <v>2238</v>
      </c>
      <c r="B698" s="1" t="s">
        <v>1457</v>
      </c>
      <c r="C698" s="1" t="str">
        <f t="shared" si="18"/>
        <v>福山市御幸町上岩成148-13</v>
      </c>
      <c r="D698" s="1" t="s">
        <v>30</v>
      </c>
      <c r="E698" s="3">
        <v>46356</v>
      </c>
      <c r="F698" s="2"/>
    </row>
    <row r="699" spans="1:6" ht="24.95" customHeight="1" x14ac:dyDescent="0.4">
      <c r="A699" s="2" t="s">
        <v>191</v>
      </c>
      <c r="B699" s="1" t="s">
        <v>1457</v>
      </c>
      <c r="C699" s="1" t="str">
        <f t="shared" si="18"/>
        <v>福山市御幸町上岩成148-13</v>
      </c>
      <c r="D699" s="1" t="s">
        <v>30</v>
      </c>
      <c r="E699" s="3">
        <v>46721</v>
      </c>
      <c r="F699" s="2"/>
    </row>
    <row r="700" spans="1:6" ht="24.95" customHeight="1" x14ac:dyDescent="0.4">
      <c r="A700" s="2" t="s">
        <v>1527</v>
      </c>
      <c r="B700" s="1" t="s">
        <v>1457</v>
      </c>
      <c r="C700" s="1" t="str">
        <f t="shared" si="18"/>
        <v>福山市御幸町上岩成148-13</v>
      </c>
      <c r="D700" s="1" t="s">
        <v>30</v>
      </c>
      <c r="E700" s="3">
        <v>46721</v>
      </c>
      <c r="F700" s="2"/>
    </row>
    <row r="701" spans="1:6" ht="24.95" customHeight="1" x14ac:dyDescent="0.4">
      <c r="A701" s="2" t="s">
        <v>2144</v>
      </c>
      <c r="B701" s="1" t="s">
        <v>1457</v>
      </c>
      <c r="C701" s="1" t="str">
        <f t="shared" si="18"/>
        <v>福山市御幸町上岩成148-13</v>
      </c>
      <c r="D701" s="1" t="s">
        <v>88</v>
      </c>
      <c r="E701" s="3">
        <v>46721</v>
      </c>
      <c r="F701" s="2"/>
    </row>
    <row r="702" spans="1:6" ht="24.95" customHeight="1" x14ac:dyDescent="0.4">
      <c r="A702" s="2" t="s">
        <v>2298</v>
      </c>
      <c r="B702" s="1" t="s">
        <v>1457</v>
      </c>
      <c r="C702" s="1" t="str">
        <f t="shared" si="18"/>
        <v>福山市御幸町上岩成148-13</v>
      </c>
      <c r="D702" s="1" t="s">
        <v>531</v>
      </c>
      <c r="E702" s="3">
        <v>46721</v>
      </c>
      <c r="F702" s="2"/>
    </row>
    <row r="703" spans="1:6" ht="24.95" customHeight="1" x14ac:dyDescent="0.4">
      <c r="A703" s="2" t="s">
        <v>949</v>
      </c>
      <c r="B703" s="1" t="s">
        <v>1457</v>
      </c>
      <c r="C703" s="1" t="str">
        <f t="shared" si="18"/>
        <v>福山市御幸町上岩成148-13</v>
      </c>
      <c r="D703" s="1" t="s">
        <v>30</v>
      </c>
      <c r="E703" s="3">
        <v>47087</v>
      </c>
      <c r="F703" s="2"/>
    </row>
    <row r="704" spans="1:6" ht="24.95" customHeight="1" x14ac:dyDescent="0.4">
      <c r="A704" s="2" t="s">
        <v>2319</v>
      </c>
      <c r="B704" s="1" t="s">
        <v>1457</v>
      </c>
      <c r="C704" s="1" t="str">
        <f t="shared" si="18"/>
        <v>福山市御幸町上岩成148-13</v>
      </c>
      <c r="D704" s="1" t="s">
        <v>30</v>
      </c>
      <c r="E704" s="3">
        <v>47087</v>
      </c>
      <c r="F704" s="2"/>
    </row>
    <row r="705" spans="1:6" ht="24.95" customHeight="1" x14ac:dyDescent="0.4">
      <c r="A705" s="2" t="s">
        <v>2329</v>
      </c>
      <c r="B705" s="1" t="s">
        <v>1457</v>
      </c>
      <c r="C705" s="1" t="str">
        <f t="shared" si="18"/>
        <v>福山市御幸町上岩成148-13</v>
      </c>
      <c r="D705" s="1" t="s">
        <v>30</v>
      </c>
      <c r="E705" s="3">
        <v>47087</v>
      </c>
      <c r="F705" s="2"/>
    </row>
    <row r="706" spans="1:6" ht="24.95" customHeight="1" x14ac:dyDescent="0.4">
      <c r="A706" s="2" t="s">
        <v>2330</v>
      </c>
      <c r="B706" s="1" t="s">
        <v>1457</v>
      </c>
      <c r="C706" s="1" t="str">
        <f t="shared" si="18"/>
        <v>福山市御幸町上岩成148-13</v>
      </c>
      <c r="D706" s="1" t="s">
        <v>531</v>
      </c>
      <c r="E706" s="3">
        <v>47087</v>
      </c>
      <c r="F706" s="2"/>
    </row>
    <row r="707" spans="1:6" ht="24.95" customHeight="1" x14ac:dyDescent="0.4">
      <c r="A707" s="2" t="s">
        <v>2342</v>
      </c>
      <c r="B707" s="1" t="s">
        <v>1457</v>
      </c>
      <c r="C707" s="1" t="str">
        <f t="shared" si="18"/>
        <v>福山市御幸町上岩成148-13</v>
      </c>
      <c r="D707" s="1" t="s">
        <v>67</v>
      </c>
      <c r="E707" s="3">
        <v>47087</v>
      </c>
      <c r="F707" s="2"/>
    </row>
    <row r="708" spans="1:6" ht="24.95" customHeight="1" x14ac:dyDescent="0.4">
      <c r="A708" s="2" t="s">
        <v>1248</v>
      </c>
      <c r="B708" s="1" t="s">
        <v>1457</v>
      </c>
      <c r="C708" s="1" t="str">
        <f t="shared" si="18"/>
        <v>福山市御幸町上岩成148-13</v>
      </c>
      <c r="D708" s="1" t="s">
        <v>1195</v>
      </c>
      <c r="E708" s="3">
        <v>45626</v>
      </c>
      <c r="F708" s="2"/>
    </row>
    <row r="709" spans="1:6" ht="24.95" customHeight="1" x14ac:dyDescent="0.4">
      <c r="A709" s="2" t="s">
        <v>2357</v>
      </c>
      <c r="B709" s="1" t="s">
        <v>1457</v>
      </c>
      <c r="C709" s="1" t="str">
        <f t="shared" si="18"/>
        <v>福山市御幸町上岩成148-13</v>
      </c>
      <c r="D709" s="1" t="s">
        <v>531</v>
      </c>
      <c r="E709" s="3">
        <v>45626</v>
      </c>
      <c r="F709" s="2"/>
    </row>
    <row r="710" spans="1:6" ht="24.95" customHeight="1" x14ac:dyDescent="0.4">
      <c r="A710" s="2" t="s">
        <v>2398</v>
      </c>
      <c r="B710" s="1" t="s">
        <v>1457</v>
      </c>
      <c r="C710" s="1" t="str">
        <f t="shared" si="18"/>
        <v>福山市御幸町上岩成148-13</v>
      </c>
      <c r="D710" s="1" t="s">
        <v>30</v>
      </c>
      <c r="E710" s="3">
        <v>45991</v>
      </c>
      <c r="F710" s="2"/>
    </row>
    <row r="711" spans="1:6" ht="24.95" customHeight="1" x14ac:dyDescent="0.4">
      <c r="A711" s="2" t="s">
        <v>901</v>
      </c>
      <c r="B711" s="1" t="s">
        <v>1457</v>
      </c>
      <c r="C711" s="1" t="str">
        <f t="shared" si="18"/>
        <v>福山市御幸町上岩成148-13</v>
      </c>
      <c r="D711" s="1" t="s">
        <v>30</v>
      </c>
      <c r="E711" s="3">
        <v>45991</v>
      </c>
      <c r="F711" s="2"/>
    </row>
    <row r="712" spans="1:6" ht="24.95" customHeight="1" x14ac:dyDescent="0.4">
      <c r="A712" s="2" t="s">
        <v>266</v>
      </c>
      <c r="B712" s="1" t="s">
        <v>1457</v>
      </c>
      <c r="C712" s="1" t="str">
        <f t="shared" si="18"/>
        <v>福山市御幸町上岩成148-13</v>
      </c>
      <c r="D712" s="1" t="s">
        <v>179</v>
      </c>
      <c r="E712" s="3">
        <v>46356</v>
      </c>
      <c r="F712" s="2"/>
    </row>
    <row r="713" spans="1:6" ht="24.95" customHeight="1" x14ac:dyDescent="0.4">
      <c r="A713" s="2" t="s">
        <v>2064</v>
      </c>
      <c r="B713" s="1" t="s">
        <v>1457</v>
      </c>
      <c r="C713" s="1" t="str">
        <f t="shared" si="18"/>
        <v>福山市御幸町上岩成148-13</v>
      </c>
      <c r="D713" s="1" t="s">
        <v>950</v>
      </c>
      <c r="E713" s="3">
        <v>46356</v>
      </c>
      <c r="F713" s="2"/>
    </row>
    <row r="714" spans="1:6" ht="24.95" customHeight="1" x14ac:dyDescent="0.4">
      <c r="A714" s="2" t="s">
        <v>2463</v>
      </c>
      <c r="B714" s="1" t="s">
        <v>1457</v>
      </c>
      <c r="C714" s="1" t="str">
        <f t="shared" si="18"/>
        <v>福山市御幸町上岩成148-13</v>
      </c>
      <c r="D714" s="1" t="s">
        <v>67</v>
      </c>
      <c r="E714" s="3">
        <v>46356</v>
      </c>
      <c r="F714" s="2"/>
    </row>
    <row r="715" spans="1:6" ht="24.95" customHeight="1" x14ac:dyDescent="0.4">
      <c r="A715" s="2" t="s">
        <v>2481</v>
      </c>
      <c r="B715" s="1" t="s">
        <v>1457</v>
      </c>
      <c r="C715" s="1" t="str">
        <f t="shared" si="18"/>
        <v>福山市御幸町上岩成148-13</v>
      </c>
      <c r="D715" s="1" t="s">
        <v>179</v>
      </c>
      <c r="E715" s="3">
        <v>46721</v>
      </c>
      <c r="F715" s="2"/>
    </row>
    <row r="716" spans="1:6" ht="24.95" customHeight="1" x14ac:dyDescent="0.4">
      <c r="A716" s="2" t="s">
        <v>2493</v>
      </c>
      <c r="B716" s="1" t="s">
        <v>1457</v>
      </c>
      <c r="C716" s="1" t="str">
        <f t="shared" si="18"/>
        <v>福山市御幸町上岩成148-13</v>
      </c>
      <c r="D716" s="1" t="s">
        <v>30</v>
      </c>
      <c r="E716" s="3">
        <v>46721</v>
      </c>
      <c r="F716" s="2"/>
    </row>
    <row r="717" spans="1:6" ht="24.95" customHeight="1" x14ac:dyDescent="0.4">
      <c r="A717" s="2" t="s">
        <v>2653</v>
      </c>
      <c r="B717" s="1" t="s">
        <v>2173</v>
      </c>
      <c r="C717" s="1" t="str">
        <f>"福山市御幸町上岩成234-1"</f>
        <v>福山市御幸町上岩成234-1</v>
      </c>
      <c r="D717" s="1" t="s">
        <v>220</v>
      </c>
      <c r="E717" s="3">
        <v>47087</v>
      </c>
      <c r="F717" s="2"/>
    </row>
    <row r="718" spans="1:6" ht="24.95" customHeight="1" x14ac:dyDescent="0.4">
      <c r="A718" s="2" t="s">
        <v>1872</v>
      </c>
      <c r="B718" s="1" t="s">
        <v>1714</v>
      </c>
      <c r="C718" s="1" t="str">
        <f>"福山市御船町1-11-11"</f>
        <v>福山市御船町1-11-11</v>
      </c>
      <c r="D718" s="1" t="s">
        <v>1046</v>
      </c>
      <c r="E718" s="3">
        <v>45991</v>
      </c>
      <c r="F718" s="2"/>
    </row>
    <row r="719" spans="1:6" ht="24.95" customHeight="1" x14ac:dyDescent="0.4">
      <c r="A719" s="2" t="s">
        <v>2602</v>
      </c>
      <c r="B719" s="1" t="s">
        <v>2193</v>
      </c>
      <c r="C719" s="1" t="str">
        <f>"福山市御船町1-9-3"</f>
        <v>福山市御船町1-9-3</v>
      </c>
      <c r="D719" s="1" t="s">
        <v>192</v>
      </c>
      <c r="E719" s="3">
        <v>47087</v>
      </c>
      <c r="F719" s="2"/>
    </row>
    <row r="720" spans="1:6" ht="24.95" customHeight="1" x14ac:dyDescent="0.4">
      <c r="A720" s="2" t="s">
        <v>1402</v>
      </c>
      <c r="B720" s="1" t="s">
        <v>1820</v>
      </c>
      <c r="C720" s="1" t="str">
        <f>"福山市御門町2-5-29"</f>
        <v>福山市御門町2-5-29</v>
      </c>
      <c r="D720" s="5" t="s">
        <v>969</v>
      </c>
      <c r="E720" s="3">
        <v>47087</v>
      </c>
      <c r="F720" s="2"/>
    </row>
    <row r="721" spans="1:6" ht="24.95" customHeight="1" x14ac:dyDescent="0.4">
      <c r="A721" s="2" t="s">
        <v>1590</v>
      </c>
      <c r="B721" s="1" t="s">
        <v>1920</v>
      </c>
      <c r="C721" s="1" t="str">
        <f>"福山市御門町3-2-8"</f>
        <v>福山市御門町3-2-8</v>
      </c>
      <c r="D721" s="1" t="s">
        <v>88</v>
      </c>
      <c r="E721" s="3">
        <v>45626</v>
      </c>
      <c r="F721" s="2"/>
    </row>
    <row r="722" spans="1:6" ht="24.95" customHeight="1" x14ac:dyDescent="0.4">
      <c r="A722" s="2" t="s">
        <v>411</v>
      </c>
      <c r="B722" s="1" t="s">
        <v>375</v>
      </c>
      <c r="C722" s="1" t="str">
        <f>"福山市御門町3-3-15"</f>
        <v>福山市御門町3-3-15</v>
      </c>
      <c r="D722" s="1" t="s">
        <v>41</v>
      </c>
      <c r="E722" s="3">
        <v>47087</v>
      </c>
      <c r="F722" s="2"/>
    </row>
    <row r="723" spans="1:6" ht="24.95" customHeight="1" x14ac:dyDescent="0.4">
      <c r="A723" s="2" t="s">
        <v>509</v>
      </c>
      <c r="B723" s="1" t="s">
        <v>213</v>
      </c>
      <c r="C723" s="1" t="str">
        <f>"福山市御門町3-9-23"</f>
        <v>福山市御門町3-9-23</v>
      </c>
      <c r="D723" s="1" t="s">
        <v>693</v>
      </c>
      <c r="E723" s="3">
        <v>47087</v>
      </c>
      <c r="F723" s="2"/>
    </row>
    <row r="724" spans="1:6" ht="24.95" customHeight="1" x14ac:dyDescent="0.4">
      <c r="A724" s="2" t="s">
        <v>858</v>
      </c>
      <c r="B724" s="1" t="s">
        <v>2541</v>
      </c>
      <c r="C724" s="1" t="str">
        <f>"福山市光南町1-7-9"</f>
        <v>福山市光南町1-7-9</v>
      </c>
      <c r="D724" s="1" t="s">
        <v>201</v>
      </c>
      <c r="E724" s="3">
        <v>47087</v>
      </c>
      <c r="F724" s="2"/>
    </row>
    <row r="725" spans="1:6" ht="24.95" customHeight="1" x14ac:dyDescent="0.4">
      <c r="A725" s="2" t="s">
        <v>2561</v>
      </c>
      <c r="B725" s="1" t="s">
        <v>2541</v>
      </c>
      <c r="C725" s="1" t="str">
        <f>"福山市光南町1-7-9"</f>
        <v>福山市光南町1-7-9</v>
      </c>
      <c r="D725" s="1" t="s">
        <v>30</v>
      </c>
      <c r="E725" s="3">
        <v>47087</v>
      </c>
      <c r="F725" s="2"/>
    </row>
    <row r="726" spans="1:6" ht="24.95" customHeight="1" x14ac:dyDescent="0.4">
      <c r="A726" s="2" t="s">
        <v>1787</v>
      </c>
      <c r="B726" s="1" t="s">
        <v>1073</v>
      </c>
      <c r="C726" s="1" t="str">
        <f>"福山市光南町3-7-8"</f>
        <v>福山市光南町3-7-8</v>
      </c>
      <c r="D726" s="1" t="s">
        <v>2574</v>
      </c>
      <c r="E726" s="3">
        <v>47087</v>
      </c>
      <c r="F726" s="2"/>
    </row>
    <row r="727" spans="1:6" ht="24.95" customHeight="1" x14ac:dyDescent="0.4">
      <c r="A727" s="2" t="s">
        <v>1709</v>
      </c>
      <c r="B727" s="1" t="s">
        <v>802</v>
      </c>
      <c r="C727" s="1" t="str">
        <f>"福山市港町1-15-30"</f>
        <v>福山市港町1-15-30</v>
      </c>
      <c r="D727" s="1" t="s">
        <v>30</v>
      </c>
      <c r="E727" s="3">
        <v>47087</v>
      </c>
      <c r="F727" s="2"/>
    </row>
    <row r="728" spans="1:6" ht="24.95" customHeight="1" x14ac:dyDescent="0.4">
      <c r="A728" s="2" t="s">
        <v>1168</v>
      </c>
      <c r="B728" s="1" t="s">
        <v>802</v>
      </c>
      <c r="C728" s="1" t="str">
        <f>"福山市港町1-15-30"</f>
        <v>福山市港町1-15-30</v>
      </c>
      <c r="D728" s="1" t="s">
        <v>122</v>
      </c>
      <c r="E728" s="3">
        <v>47087</v>
      </c>
      <c r="F728" s="2"/>
    </row>
    <row r="729" spans="1:6" ht="24.95" customHeight="1" x14ac:dyDescent="0.4">
      <c r="A729" s="2" t="s">
        <v>2211</v>
      </c>
      <c r="B729" s="1" t="s">
        <v>802</v>
      </c>
      <c r="C729" s="1" t="str">
        <f>"福山市港町1-15-30"</f>
        <v>福山市港町1-15-30</v>
      </c>
      <c r="D729" s="1" t="s">
        <v>122</v>
      </c>
      <c r="E729" s="3">
        <v>45991</v>
      </c>
      <c r="F729" s="2"/>
    </row>
    <row r="730" spans="1:6" ht="24.95" customHeight="1" x14ac:dyDescent="0.4">
      <c r="A730" s="2" t="s">
        <v>2441</v>
      </c>
      <c r="B730" s="1" t="s">
        <v>802</v>
      </c>
      <c r="C730" s="1" t="str">
        <f>"福山市港町1-15-30"</f>
        <v>福山市港町1-15-30</v>
      </c>
      <c r="D730" s="1" t="s">
        <v>324</v>
      </c>
      <c r="E730" s="3">
        <v>46356</v>
      </c>
      <c r="F730" s="2"/>
    </row>
    <row r="731" spans="1:6" ht="24.95" customHeight="1" x14ac:dyDescent="0.4">
      <c r="A731" s="2" t="s">
        <v>1648</v>
      </c>
      <c r="B731" s="1" t="s">
        <v>802</v>
      </c>
      <c r="C731" s="1" t="str">
        <f>"福山市港町1-15-30"</f>
        <v>福山市港町1-15-30</v>
      </c>
      <c r="D731" s="1" t="s">
        <v>531</v>
      </c>
      <c r="E731" s="3">
        <v>47087</v>
      </c>
      <c r="F731" s="2"/>
    </row>
    <row r="732" spans="1:6" ht="24.95" customHeight="1" x14ac:dyDescent="0.4">
      <c r="A732" s="2" t="s">
        <v>923</v>
      </c>
      <c r="B732" s="1" t="s">
        <v>942</v>
      </c>
      <c r="C732" s="1" t="str">
        <f>"福山市紅葉町3-24"</f>
        <v>福山市紅葉町3-24</v>
      </c>
      <c r="D732" s="1" t="s">
        <v>91</v>
      </c>
      <c r="E732" s="3">
        <v>47087</v>
      </c>
      <c r="F732" s="2"/>
    </row>
    <row r="733" spans="1:6" ht="24.95" customHeight="1" x14ac:dyDescent="0.4">
      <c r="A733" s="2" t="s">
        <v>571</v>
      </c>
      <c r="B733" s="1" t="s">
        <v>496</v>
      </c>
      <c r="C733" s="1" t="str">
        <f>"福山市今津町2-3-18"</f>
        <v>福山市今津町2-3-18</v>
      </c>
      <c r="D733" s="1" t="s">
        <v>692</v>
      </c>
      <c r="E733" s="3">
        <v>47087</v>
      </c>
      <c r="F733" s="2"/>
    </row>
    <row r="734" spans="1:6" ht="24.95" customHeight="1" x14ac:dyDescent="0.4">
      <c r="A734" s="2" t="s">
        <v>1801</v>
      </c>
      <c r="B734" s="1" t="s">
        <v>1802</v>
      </c>
      <c r="C734" s="1" t="str">
        <f>"福山市今津町3-9-10"</f>
        <v>福山市今津町3-9-10</v>
      </c>
      <c r="D734" s="1" t="s">
        <v>139</v>
      </c>
      <c r="E734" s="3">
        <v>47087</v>
      </c>
      <c r="F734" s="2"/>
    </row>
    <row r="735" spans="1:6" ht="24.95" customHeight="1" x14ac:dyDescent="0.4">
      <c r="A735" s="2" t="s">
        <v>1400</v>
      </c>
      <c r="B735" s="1" t="s">
        <v>1401</v>
      </c>
      <c r="C735" s="1" t="str">
        <f>"福山市三吉町4-11-8"</f>
        <v>福山市三吉町4-11-8</v>
      </c>
      <c r="D735" s="1" t="s">
        <v>324</v>
      </c>
      <c r="E735" s="3">
        <v>47087</v>
      </c>
      <c r="F735" s="2"/>
    </row>
    <row r="736" spans="1:6" ht="24.95" customHeight="1" x14ac:dyDescent="0.4">
      <c r="A736" s="2" t="s">
        <v>641</v>
      </c>
      <c r="B736" s="1" t="s">
        <v>2596</v>
      </c>
      <c r="C736" s="1" t="str">
        <f>"福山市三吉町南1-11-15"</f>
        <v>福山市三吉町南1-11-15</v>
      </c>
      <c r="D736" s="1" t="s">
        <v>30</v>
      </c>
      <c r="E736" s="3">
        <v>47087</v>
      </c>
      <c r="F736" s="2"/>
    </row>
    <row r="737" spans="1:6" ht="24.95" customHeight="1" x14ac:dyDescent="0.4">
      <c r="A737" s="2" t="s">
        <v>487</v>
      </c>
      <c r="B737" s="1" t="s">
        <v>508</v>
      </c>
      <c r="C737" s="1" t="str">
        <f>"福山市三之丸町11-11"</f>
        <v>福山市三之丸町11-11</v>
      </c>
      <c r="D737" s="1" t="s">
        <v>1768</v>
      </c>
      <c r="E737" s="3">
        <v>47087</v>
      </c>
      <c r="F737" s="2"/>
    </row>
    <row r="738" spans="1:6" ht="24.95" customHeight="1" x14ac:dyDescent="0.4">
      <c r="A738" s="2" t="s">
        <v>410</v>
      </c>
      <c r="B738" s="1" t="s">
        <v>427</v>
      </c>
      <c r="C738" s="1" t="str">
        <f>"福山市山手町2-3-10"</f>
        <v>福山市山手町2-3-10</v>
      </c>
      <c r="D738" s="1" t="s">
        <v>242</v>
      </c>
      <c r="E738" s="3">
        <v>47087</v>
      </c>
      <c r="F738" s="2"/>
    </row>
    <row r="739" spans="1:6" ht="24.95" customHeight="1" x14ac:dyDescent="0.4">
      <c r="A739" s="2" t="s">
        <v>2267</v>
      </c>
      <c r="B739" s="1" t="s">
        <v>2269</v>
      </c>
      <c r="C739" s="1" t="str">
        <f>"福山市山手町2-3-11"</f>
        <v>福山市山手町2-3-11</v>
      </c>
      <c r="D739" s="1" t="s">
        <v>2271</v>
      </c>
      <c r="E739" s="3">
        <v>46356</v>
      </c>
      <c r="F739" s="2"/>
    </row>
    <row r="740" spans="1:6" ht="24.95" customHeight="1" x14ac:dyDescent="0.4">
      <c r="A740" s="2" t="s">
        <v>2681</v>
      </c>
      <c r="B740" s="1" t="s">
        <v>2510</v>
      </c>
      <c r="C740" s="1" t="str">
        <f>"福山市若松町3-20"</f>
        <v>福山市若松町3-20</v>
      </c>
      <c r="D740" s="1" t="s">
        <v>717</v>
      </c>
      <c r="E740" s="3">
        <v>47087</v>
      </c>
      <c r="F740" s="2"/>
    </row>
    <row r="741" spans="1:6" ht="24.95" customHeight="1" x14ac:dyDescent="0.4">
      <c r="A741" s="2" t="s">
        <v>1667</v>
      </c>
      <c r="B741" s="1" t="s">
        <v>2141</v>
      </c>
      <c r="C741" s="1" t="str">
        <f>"福山市手城町1-3-41"</f>
        <v>福山市手城町1-3-41</v>
      </c>
      <c r="D741" s="1" t="s">
        <v>770</v>
      </c>
      <c r="E741" s="3">
        <v>47087</v>
      </c>
      <c r="F741" s="2"/>
    </row>
    <row r="742" spans="1:6" ht="24.95" customHeight="1" x14ac:dyDescent="0.4">
      <c r="A742" s="2" t="s">
        <v>2728</v>
      </c>
      <c r="B742" s="1" t="s">
        <v>2729</v>
      </c>
      <c r="C742" s="1" t="str">
        <f>"福山市手城町2-1-20"</f>
        <v>福山市手城町2-1-20</v>
      </c>
      <c r="D742" s="1" t="s">
        <v>531</v>
      </c>
      <c r="E742" s="3">
        <v>46356</v>
      </c>
      <c r="F742" s="2"/>
    </row>
    <row r="743" spans="1:6" ht="24.95" customHeight="1" x14ac:dyDescent="0.4">
      <c r="A743" s="2" t="s">
        <v>367</v>
      </c>
      <c r="B743" s="1" t="s">
        <v>1582</v>
      </c>
      <c r="C743" s="1" t="str">
        <f t="shared" ref="C743:C750" si="19">"福山市住吉町1-26"</f>
        <v>福山市住吉町1-26</v>
      </c>
      <c r="D743" s="1" t="s">
        <v>324</v>
      </c>
      <c r="E743" s="3">
        <v>47087</v>
      </c>
      <c r="F743" s="2"/>
    </row>
    <row r="744" spans="1:6" ht="24.95" customHeight="1" x14ac:dyDescent="0.4">
      <c r="A744" s="2" t="s">
        <v>1612</v>
      </c>
      <c r="B744" s="1" t="s">
        <v>1582</v>
      </c>
      <c r="C744" s="1" t="str">
        <f t="shared" si="19"/>
        <v>福山市住吉町1-26</v>
      </c>
      <c r="D744" s="1" t="s">
        <v>531</v>
      </c>
      <c r="E744" s="3">
        <v>47087</v>
      </c>
      <c r="F744" s="2"/>
    </row>
    <row r="745" spans="1:6" ht="24.95" customHeight="1" x14ac:dyDescent="0.4">
      <c r="A745" s="2" t="s">
        <v>1874</v>
      </c>
      <c r="B745" s="1" t="s">
        <v>1582</v>
      </c>
      <c r="C745" s="1" t="str">
        <f t="shared" si="19"/>
        <v>福山市住吉町1-26</v>
      </c>
      <c r="D745" s="1" t="s">
        <v>30</v>
      </c>
      <c r="E745" s="3">
        <v>45991</v>
      </c>
      <c r="F745" s="2"/>
    </row>
    <row r="746" spans="1:6" ht="24.95" customHeight="1" x14ac:dyDescent="0.4">
      <c r="A746" s="2" t="s">
        <v>1829</v>
      </c>
      <c r="B746" s="1" t="s">
        <v>1582</v>
      </c>
      <c r="C746" s="1" t="str">
        <f t="shared" si="19"/>
        <v>福山市住吉町1-26</v>
      </c>
      <c r="D746" s="1" t="s">
        <v>30</v>
      </c>
      <c r="E746" s="3">
        <v>47087</v>
      </c>
      <c r="F746" s="2"/>
    </row>
    <row r="747" spans="1:6" ht="24.95" customHeight="1" x14ac:dyDescent="0.4">
      <c r="A747" s="2" t="s">
        <v>2335</v>
      </c>
      <c r="B747" s="1" t="s">
        <v>1582</v>
      </c>
      <c r="C747" s="1" t="str">
        <f t="shared" si="19"/>
        <v>福山市住吉町1-26</v>
      </c>
      <c r="D747" s="1" t="s">
        <v>531</v>
      </c>
      <c r="E747" s="3">
        <v>47087</v>
      </c>
      <c r="F747" s="2"/>
    </row>
    <row r="748" spans="1:6" ht="24.95" customHeight="1" x14ac:dyDescent="0.4">
      <c r="A748" s="2" t="s">
        <v>906</v>
      </c>
      <c r="B748" s="1" t="s">
        <v>1582</v>
      </c>
      <c r="C748" s="1" t="str">
        <f t="shared" si="19"/>
        <v>福山市住吉町1-26</v>
      </c>
      <c r="D748" s="1" t="s">
        <v>30</v>
      </c>
      <c r="E748" s="3">
        <v>45991</v>
      </c>
      <c r="F748" s="2"/>
    </row>
    <row r="749" spans="1:6" ht="24.95" customHeight="1" x14ac:dyDescent="0.4">
      <c r="A749" s="2" t="s">
        <v>141</v>
      </c>
      <c r="B749" s="1" t="s">
        <v>1582</v>
      </c>
      <c r="C749" s="1" t="str">
        <f t="shared" si="19"/>
        <v>福山市住吉町1-26</v>
      </c>
      <c r="D749" s="1" t="s">
        <v>531</v>
      </c>
      <c r="E749" s="3">
        <v>46356</v>
      </c>
      <c r="F749" s="2"/>
    </row>
    <row r="750" spans="1:6" ht="24.95" customHeight="1" x14ac:dyDescent="0.4">
      <c r="A750" s="2" t="s">
        <v>1208</v>
      </c>
      <c r="B750" s="1" t="s">
        <v>1582</v>
      </c>
      <c r="C750" s="1" t="str">
        <f t="shared" si="19"/>
        <v>福山市住吉町1-26</v>
      </c>
      <c r="D750" s="1" t="s">
        <v>30</v>
      </c>
      <c r="E750" s="3">
        <v>46356</v>
      </c>
      <c r="F750" s="2"/>
    </row>
    <row r="751" spans="1:6" ht="24.95" customHeight="1" x14ac:dyDescent="0.4">
      <c r="A751" s="2" t="s">
        <v>46</v>
      </c>
      <c r="B751" s="1" t="s">
        <v>663</v>
      </c>
      <c r="C751" s="1" t="str">
        <f>"福山市住吉町4-1"</f>
        <v>福山市住吉町4-1</v>
      </c>
      <c r="D751" s="1" t="s">
        <v>220</v>
      </c>
      <c r="E751" s="3">
        <v>47087</v>
      </c>
      <c r="F751" s="2"/>
    </row>
    <row r="752" spans="1:6" ht="24.95" customHeight="1" x14ac:dyDescent="0.4">
      <c r="A752" s="2" t="s">
        <v>1836</v>
      </c>
      <c r="B752" s="1" t="s">
        <v>663</v>
      </c>
      <c r="C752" s="1" t="str">
        <f>"福山市住吉町4-1"</f>
        <v>福山市住吉町4-1</v>
      </c>
      <c r="D752" s="1" t="s">
        <v>1202</v>
      </c>
      <c r="E752" s="3">
        <v>47087</v>
      </c>
      <c r="F752" s="2"/>
    </row>
    <row r="753" spans="1:6" ht="24.95" customHeight="1" x14ac:dyDescent="0.4">
      <c r="A753" s="2" t="s">
        <v>2559</v>
      </c>
      <c r="B753" s="1" t="s">
        <v>2661</v>
      </c>
      <c r="C753" s="1" t="str">
        <f>"福山市春日町1-20-38"</f>
        <v>福山市春日町1-20-38</v>
      </c>
      <c r="D753" s="1" t="s">
        <v>30</v>
      </c>
      <c r="E753" s="3">
        <v>47087</v>
      </c>
      <c r="F753" s="2"/>
    </row>
    <row r="754" spans="1:6" ht="24.95" customHeight="1" x14ac:dyDescent="0.4">
      <c r="A754" s="2" t="s">
        <v>1425</v>
      </c>
      <c r="B754" s="1" t="s">
        <v>19</v>
      </c>
      <c r="C754" s="1" t="str">
        <f>"福山市春日町1-7-5"</f>
        <v>福山市春日町1-7-5</v>
      </c>
      <c r="D754" s="1" t="s">
        <v>122</v>
      </c>
      <c r="E754" s="3">
        <v>47087</v>
      </c>
      <c r="F754" s="2"/>
    </row>
    <row r="755" spans="1:6" ht="24.95" customHeight="1" x14ac:dyDescent="0.4">
      <c r="A755" s="2" t="s">
        <v>1548</v>
      </c>
      <c r="B755" s="1" t="s">
        <v>1512</v>
      </c>
      <c r="C755" s="1" t="str">
        <f>"福山市春日町1-7-5"</f>
        <v>福山市春日町1-7-5</v>
      </c>
      <c r="D755" s="1" t="s">
        <v>103</v>
      </c>
      <c r="E755" s="3">
        <v>46356</v>
      </c>
      <c r="F755" s="2"/>
    </row>
    <row r="756" spans="1:6" ht="24.95" customHeight="1" x14ac:dyDescent="0.4">
      <c r="A756" s="2" t="s">
        <v>1903</v>
      </c>
      <c r="B756" s="1" t="s">
        <v>2394</v>
      </c>
      <c r="C756" s="1" t="str">
        <f>"福山市春日町2-3-29"</f>
        <v>福山市春日町2-3-29</v>
      </c>
      <c r="D756" s="1" t="s">
        <v>2567</v>
      </c>
      <c r="E756" s="3">
        <v>47087</v>
      </c>
      <c r="F756" s="2"/>
    </row>
    <row r="757" spans="1:6" ht="24.95" customHeight="1" x14ac:dyDescent="0.4">
      <c r="A757" s="2" t="s">
        <v>1071</v>
      </c>
      <c r="B757" s="1" t="s">
        <v>1331</v>
      </c>
      <c r="C757" s="1" t="str">
        <f>"福山市春日町3-10-25"</f>
        <v>福山市春日町3-10-25</v>
      </c>
      <c r="D757" s="1" t="s">
        <v>756</v>
      </c>
      <c r="E757" s="3">
        <v>47087</v>
      </c>
      <c r="F757" s="2"/>
    </row>
    <row r="758" spans="1:6" ht="24.95" customHeight="1" x14ac:dyDescent="0.4">
      <c r="A758" s="2" t="s">
        <v>1383</v>
      </c>
      <c r="B758" s="1" t="s">
        <v>1384</v>
      </c>
      <c r="C758" s="1" t="str">
        <f>"福山市春日町7-1-18"</f>
        <v>福山市春日町7-1-18</v>
      </c>
      <c r="D758" s="1" t="s">
        <v>794</v>
      </c>
      <c r="E758" s="3">
        <v>47087</v>
      </c>
      <c r="F758" s="2"/>
    </row>
    <row r="759" spans="1:6" ht="24.95" customHeight="1" x14ac:dyDescent="0.4">
      <c r="A759" s="2" t="s">
        <v>1386</v>
      </c>
      <c r="B759" s="1" t="s">
        <v>1384</v>
      </c>
      <c r="C759" s="1" t="str">
        <f>"福山市春日町7-1-18"</f>
        <v>福山市春日町7-1-18</v>
      </c>
      <c r="D759" s="1" t="s">
        <v>391</v>
      </c>
      <c r="E759" s="3">
        <v>47087</v>
      </c>
      <c r="F759" s="2"/>
    </row>
    <row r="760" spans="1:6" ht="24.95" customHeight="1" x14ac:dyDescent="0.4">
      <c r="A760" s="2" t="s">
        <v>1016</v>
      </c>
      <c r="B760" s="1" t="s">
        <v>1384</v>
      </c>
      <c r="C760" s="1" t="str">
        <f>"福山市春日町7-1-18"</f>
        <v>福山市春日町7-1-18</v>
      </c>
      <c r="D760" s="1" t="s">
        <v>30</v>
      </c>
      <c r="E760" s="3">
        <v>47087</v>
      </c>
      <c r="F760" s="2"/>
    </row>
    <row r="761" spans="1:6" ht="24.95" customHeight="1" x14ac:dyDescent="0.4">
      <c r="A761" s="2" t="s">
        <v>2724</v>
      </c>
      <c r="B761" s="1" t="s">
        <v>1384</v>
      </c>
      <c r="C761" s="1" t="str">
        <f>"福山市春日町7-1-18"</f>
        <v>福山市春日町7-1-18</v>
      </c>
      <c r="D761" s="1" t="s">
        <v>220</v>
      </c>
      <c r="E761" s="3">
        <v>46356</v>
      </c>
      <c r="F761" s="2"/>
    </row>
    <row r="762" spans="1:6" ht="24.95" customHeight="1" x14ac:dyDescent="0.4">
      <c r="A762" s="2" t="s">
        <v>2115</v>
      </c>
      <c r="B762" s="1" t="s">
        <v>1160</v>
      </c>
      <c r="C762" s="1" t="str">
        <f>"福山市春日町7-14-26"</f>
        <v>福山市春日町7-14-26</v>
      </c>
      <c r="D762" s="1" t="s">
        <v>2116</v>
      </c>
      <c r="E762" s="3">
        <v>47087</v>
      </c>
      <c r="F762" s="2"/>
    </row>
    <row r="763" spans="1:6" ht="24.95" customHeight="1" x14ac:dyDescent="0.4">
      <c r="A763" s="2" t="s">
        <v>1151</v>
      </c>
      <c r="B763" s="1" t="s">
        <v>812</v>
      </c>
      <c r="C763" s="1" t="str">
        <f t="shared" ref="C763:C769" si="20">"福山市曙町3-19-18"</f>
        <v>福山市曙町3-19-18</v>
      </c>
      <c r="D763" s="1" t="s">
        <v>30</v>
      </c>
      <c r="E763" s="3">
        <v>47087</v>
      </c>
      <c r="F763" s="2"/>
    </row>
    <row r="764" spans="1:6" ht="24.95" customHeight="1" x14ac:dyDescent="0.4">
      <c r="A764" s="2" t="s">
        <v>320</v>
      </c>
      <c r="B764" s="1" t="s">
        <v>812</v>
      </c>
      <c r="C764" s="1" t="str">
        <f t="shared" si="20"/>
        <v>福山市曙町3-19-18</v>
      </c>
      <c r="D764" s="1" t="s">
        <v>1731</v>
      </c>
      <c r="E764" s="3">
        <v>47087</v>
      </c>
      <c r="F764" s="2"/>
    </row>
    <row r="765" spans="1:6" ht="24.95" customHeight="1" x14ac:dyDescent="0.4">
      <c r="A765" s="2" t="s">
        <v>1915</v>
      </c>
      <c r="B765" s="1" t="s">
        <v>812</v>
      </c>
      <c r="C765" s="1" t="str">
        <f t="shared" si="20"/>
        <v>福山市曙町3-19-18</v>
      </c>
      <c r="D765" s="1" t="s">
        <v>1081</v>
      </c>
      <c r="E765" s="3">
        <v>47087</v>
      </c>
      <c r="F765" s="2"/>
    </row>
    <row r="766" spans="1:6" ht="24.95" customHeight="1" x14ac:dyDescent="0.4">
      <c r="A766" s="2" t="s">
        <v>1934</v>
      </c>
      <c r="B766" s="1" t="s">
        <v>812</v>
      </c>
      <c r="C766" s="1" t="str">
        <f t="shared" si="20"/>
        <v>福山市曙町3-19-18</v>
      </c>
      <c r="D766" s="1" t="s">
        <v>531</v>
      </c>
      <c r="E766" s="3">
        <v>47087</v>
      </c>
      <c r="F766" s="2"/>
    </row>
    <row r="767" spans="1:6" ht="24.95" customHeight="1" x14ac:dyDescent="0.4">
      <c r="A767" s="2" t="s">
        <v>1938</v>
      </c>
      <c r="B767" s="1" t="s">
        <v>812</v>
      </c>
      <c r="C767" s="1" t="str">
        <f t="shared" si="20"/>
        <v>福山市曙町3-19-18</v>
      </c>
      <c r="D767" s="1" t="s">
        <v>531</v>
      </c>
      <c r="E767" s="3">
        <v>47087</v>
      </c>
      <c r="F767" s="2"/>
    </row>
    <row r="768" spans="1:6" ht="24.95" customHeight="1" x14ac:dyDescent="0.4">
      <c r="A768" s="2" t="s">
        <v>2203</v>
      </c>
      <c r="B768" s="1" t="s">
        <v>812</v>
      </c>
      <c r="C768" s="1" t="str">
        <f t="shared" si="20"/>
        <v>福山市曙町3-19-18</v>
      </c>
      <c r="D768" s="1" t="s">
        <v>279</v>
      </c>
      <c r="E768" s="3">
        <v>45991</v>
      </c>
      <c r="F768" s="2"/>
    </row>
    <row r="769" spans="1:6" ht="24.95" customHeight="1" x14ac:dyDescent="0.4">
      <c r="A769" s="2" t="s">
        <v>1733</v>
      </c>
      <c r="B769" s="1" t="s">
        <v>812</v>
      </c>
      <c r="C769" s="1" t="str">
        <f t="shared" si="20"/>
        <v>福山市曙町3-19-18</v>
      </c>
      <c r="D769" s="1" t="s">
        <v>1081</v>
      </c>
      <c r="E769" s="3">
        <v>47087</v>
      </c>
      <c r="F769" s="2"/>
    </row>
    <row r="770" spans="1:6" ht="24.95" customHeight="1" x14ac:dyDescent="0.4">
      <c r="A770" s="2" t="s">
        <v>2652</v>
      </c>
      <c r="B770" s="1" t="s">
        <v>990</v>
      </c>
      <c r="C770" s="1" t="str">
        <f>"福山市曙町5-19-23"</f>
        <v>福山市曙町5-19-23</v>
      </c>
      <c r="D770" s="1" t="s">
        <v>1081</v>
      </c>
      <c r="E770" s="3">
        <v>47087</v>
      </c>
      <c r="F770" s="2"/>
    </row>
    <row r="771" spans="1:6" ht="24.95" customHeight="1" x14ac:dyDescent="0.4">
      <c r="A771" s="2" t="s">
        <v>1011</v>
      </c>
      <c r="B771" s="1" t="s">
        <v>2215</v>
      </c>
      <c r="C771" s="1" t="str">
        <f>"福山市曙町5-21-50"</f>
        <v>福山市曙町5-21-50</v>
      </c>
      <c r="D771" s="1" t="s">
        <v>88</v>
      </c>
      <c r="E771" s="3">
        <v>45991</v>
      </c>
      <c r="F771" s="2"/>
    </row>
    <row r="772" spans="1:6" ht="24.95" customHeight="1" x14ac:dyDescent="0.4">
      <c r="A772" s="2" t="s">
        <v>2744</v>
      </c>
      <c r="B772" s="1" t="s">
        <v>2745</v>
      </c>
      <c r="C772" s="1" t="str">
        <f>"福山市曙町6-7-15"</f>
        <v>福山市曙町6-7-15</v>
      </c>
      <c r="D772" s="1" t="s">
        <v>30</v>
      </c>
      <c r="E772" s="3">
        <v>45991</v>
      </c>
      <c r="F772" s="2"/>
    </row>
    <row r="773" spans="1:6" ht="24.95" customHeight="1" x14ac:dyDescent="0.4">
      <c r="A773" s="2" t="s">
        <v>2158</v>
      </c>
      <c r="B773" s="1" t="s">
        <v>2068</v>
      </c>
      <c r="C773" s="1" t="str">
        <f>"福山市松永町340-1"</f>
        <v>福山市松永町340-1</v>
      </c>
      <c r="D773" s="1" t="s">
        <v>655</v>
      </c>
      <c r="E773" s="3">
        <v>46721</v>
      </c>
      <c r="F773" s="2"/>
    </row>
    <row r="774" spans="1:6" ht="24.95" customHeight="1" x14ac:dyDescent="0.4">
      <c r="A774" s="2" t="s">
        <v>788</v>
      </c>
      <c r="B774" s="1" t="s">
        <v>789</v>
      </c>
      <c r="C774" s="1" t="str">
        <f>"福山市松永町3-7-39-3"</f>
        <v>福山市松永町3-7-39-3</v>
      </c>
      <c r="D774" s="5" t="s">
        <v>48</v>
      </c>
      <c r="E774" s="3">
        <v>47087</v>
      </c>
      <c r="F774" s="2"/>
    </row>
    <row r="775" spans="1:6" ht="24.95" customHeight="1" x14ac:dyDescent="0.4">
      <c r="A775" s="2" t="s">
        <v>422</v>
      </c>
      <c r="B775" s="1" t="s">
        <v>789</v>
      </c>
      <c r="C775" s="1" t="str">
        <f>"福山市松永町3-7-39-3"</f>
        <v>福山市松永町3-7-39-3</v>
      </c>
      <c r="D775" s="1" t="s">
        <v>1137</v>
      </c>
      <c r="E775" s="3">
        <v>47087</v>
      </c>
      <c r="F775" s="2"/>
    </row>
    <row r="776" spans="1:6" ht="24.95" customHeight="1" x14ac:dyDescent="0.4">
      <c r="A776" s="2" t="s">
        <v>746</v>
      </c>
      <c r="B776" s="1" t="s">
        <v>1039</v>
      </c>
      <c r="C776" s="1" t="str">
        <f>"福山市松永町5-23-23"</f>
        <v>福山市松永町5-23-23</v>
      </c>
      <c r="D776" s="1" t="s">
        <v>122</v>
      </c>
      <c r="E776" s="3">
        <v>47087</v>
      </c>
      <c r="F776" s="2"/>
    </row>
    <row r="777" spans="1:6" ht="24.95" customHeight="1" x14ac:dyDescent="0.4">
      <c r="A777" s="2" t="s">
        <v>457</v>
      </c>
      <c r="B777" s="1" t="s">
        <v>516</v>
      </c>
      <c r="C777" s="1" t="str">
        <f>"福山市松浜町1-13-38"</f>
        <v>福山市松浜町1-13-38</v>
      </c>
      <c r="D777" s="1" t="s">
        <v>639</v>
      </c>
      <c r="E777" s="3">
        <v>47087</v>
      </c>
      <c r="F777" s="2"/>
    </row>
    <row r="778" spans="1:6" ht="24.95" customHeight="1" x14ac:dyDescent="0.4">
      <c r="A778" s="2" t="s">
        <v>484</v>
      </c>
      <c r="B778" s="1" t="s">
        <v>516</v>
      </c>
      <c r="C778" s="1" t="str">
        <f>"福山市松浜町1-13-38"</f>
        <v>福山市松浜町1-13-38</v>
      </c>
      <c r="D778" s="1" t="s">
        <v>1953</v>
      </c>
      <c r="E778" s="3">
        <v>47087</v>
      </c>
      <c r="F778" s="2"/>
    </row>
    <row r="779" spans="1:6" ht="24.95" customHeight="1" x14ac:dyDescent="0.4">
      <c r="A779" s="2" t="s">
        <v>2299</v>
      </c>
      <c r="B779" s="1" t="s">
        <v>516</v>
      </c>
      <c r="C779" s="1" t="str">
        <f>"福山市松浜町1-13-38"</f>
        <v>福山市松浜町1-13-38</v>
      </c>
      <c r="D779" s="1" t="s">
        <v>531</v>
      </c>
      <c r="E779" s="3">
        <v>46721</v>
      </c>
      <c r="F779" s="2"/>
    </row>
    <row r="780" spans="1:6" ht="24.95" customHeight="1" x14ac:dyDescent="0.4">
      <c r="A780" s="2" t="s">
        <v>2430</v>
      </c>
      <c r="B780" s="1" t="s">
        <v>516</v>
      </c>
      <c r="C780" s="1" t="str">
        <f>"福山市松浜町1-13-38"</f>
        <v>福山市松浜町1-13-38</v>
      </c>
      <c r="D780" s="1" t="s">
        <v>30</v>
      </c>
      <c r="E780" s="3">
        <v>45991</v>
      </c>
      <c r="F780" s="2"/>
    </row>
    <row r="781" spans="1:6" ht="24.95" customHeight="1" x14ac:dyDescent="0.4">
      <c r="A781" s="2" t="s">
        <v>2543</v>
      </c>
      <c r="B781" s="1" t="s">
        <v>516</v>
      </c>
      <c r="C781" s="1" t="str">
        <f>"福山市松浜町1-13-38"</f>
        <v>福山市松浜町1-13-38</v>
      </c>
      <c r="D781" s="1" t="s">
        <v>30</v>
      </c>
      <c r="E781" s="3">
        <v>47087</v>
      </c>
      <c r="F781" s="2"/>
    </row>
    <row r="782" spans="1:6" ht="24.95" customHeight="1" x14ac:dyDescent="0.4">
      <c r="A782" s="2" t="s">
        <v>2207</v>
      </c>
      <c r="B782" s="1" t="s">
        <v>1881</v>
      </c>
      <c r="C782" s="1" t="str">
        <f>"福山市松浜町1-4-13"</f>
        <v>福山市松浜町1-4-13</v>
      </c>
      <c r="D782" s="1" t="s">
        <v>30</v>
      </c>
      <c r="E782" s="3">
        <v>46356</v>
      </c>
      <c r="F782" s="2"/>
    </row>
    <row r="783" spans="1:6" ht="24.95" customHeight="1" x14ac:dyDescent="0.4">
      <c r="A783" s="2" t="s">
        <v>1130</v>
      </c>
      <c r="B783" s="1" t="s">
        <v>1131</v>
      </c>
      <c r="C783" s="1" t="s">
        <v>1134</v>
      </c>
      <c r="D783" s="1" t="s">
        <v>346</v>
      </c>
      <c r="E783" s="3">
        <v>47087</v>
      </c>
      <c r="F783" s="2"/>
    </row>
    <row r="784" spans="1:6" ht="24.95" customHeight="1" x14ac:dyDescent="0.4">
      <c r="A784" s="2" t="s">
        <v>1427</v>
      </c>
      <c r="B784" s="1" t="s">
        <v>2531</v>
      </c>
      <c r="C784" s="1" t="str">
        <f>"福山市沼隈町草深1964-1"</f>
        <v>福山市沼隈町草深1964-1</v>
      </c>
      <c r="D784" s="1" t="s">
        <v>41</v>
      </c>
      <c r="E784" s="3">
        <v>47087</v>
      </c>
      <c r="F784" s="2"/>
    </row>
    <row r="785" spans="1:6" ht="24.95" customHeight="1" x14ac:dyDescent="0.4">
      <c r="A785" s="2" t="s">
        <v>2041</v>
      </c>
      <c r="B785" s="1" t="s">
        <v>2014</v>
      </c>
      <c r="C785" s="1" t="str">
        <f>"福山市沼隈町草深2031-1"</f>
        <v>福山市沼隈町草深2031-1</v>
      </c>
      <c r="D785" s="1" t="s">
        <v>531</v>
      </c>
      <c r="E785" s="3">
        <v>47087</v>
      </c>
      <c r="F785" s="2"/>
    </row>
    <row r="786" spans="1:6" ht="24.95" customHeight="1" x14ac:dyDescent="0.4">
      <c r="A786" s="2" t="s">
        <v>2042</v>
      </c>
      <c r="B786" s="1" t="s">
        <v>2014</v>
      </c>
      <c r="C786" s="1" t="str">
        <f>"福山市沼隈町草深2031-1"</f>
        <v>福山市沼隈町草深2031-1</v>
      </c>
      <c r="D786" s="1" t="s">
        <v>30</v>
      </c>
      <c r="E786" s="3">
        <v>47087</v>
      </c>
      <c r="F786" s="2"/>
    </row>
    <row r="787" spans="1:6" ht="24.95" customHeight="1" x14ac:dyDescent="0.4">
      <c r="A787" s="2" t="s">
        <v>767</v>
      </c>
      <c r="B787" s="1" t="s">
        <v>2586</v>
      </c>
      <c r="C787" s="1" t="str">
        <f>"福山市沼隈町草深428-1"</f>
        <v>福山市沼隈町草深428-1</v>
      </c>
      <c r="D787" s="1" t="s">
        <v>30</v>
      </c>
      <c r="E787" s="3">
        <v>47087</v>
      </c>
      <c r="F787" s="2"/>
    </row>
    <row r="788" spans="1:6" ht="24.95" customHeight="1" x14ac:dyDescent="0.4">
      <c r="A788" s="2" t="s">
        <v>2752</v>
      </c>
      <c r="B788" s="1" t="s">
        <v>2628</v>
      </c>
      <c r="C788" s="1" t="str">
        <f>"福山市沼隈町中山南1233-3"</f>
        <v>福山市沼隈町中山南1233-3</v>
      </c>
      <c r="D788" s="1" t="s">
        <v>30</v>
      </c>
      <c r="E788" s="3">
        <v>45991</v>
      </c>
      <c r="F788" s="2"/>
    </row>
    <row r="789" spans="1:6" ht="24.95" customHeight="1" x14ac:dyDescent="0.4">
      <c r="A789" s="2" t="s">
        <v>1233</v>
      </c>
      <c r="B789" s="1" t="s">
        <v>1169</v>
      </c>
      <c r="C789" s="1" t="str">
        <f>"福山市沼隈町中山南469-3"</f>
        <v>福山市沼隈町中山南469-3</v>
      </c>
      <c r="D789" s="1" t="s">
        <v>176</v>
      </c>
      <c r="E789" s="3">
        <v>47087</v>
      </c>
      <c r="F789" s="2"/>
    </row>
    <row r="790" spans="1:6" ht="24.95" customHeight="1" x14ac:dyDescent="0.4">
      <c r="A790" s="2" t="s">
        <v>658</v>
      </c>
      <c r="B790" s="1" t="s">
        <v>1169</v>
      </c>
      <c r="C790" s="1" t="str">
        <f>"福山市沼隈町中山南469-3"</f>
        <v>福山市沼隈町中山南469-3</v>
      </c>
      <c r="D790" s="1" t="s">
        <v>122</v>
      </c>
      <c r="E790" s="3">
        <v>47087</v>
      </c>
      <c r="F790" s="2"/>
    </row>
    <row r="791" spans="1:6" ht="24.95" customHeight="1" x14ac:dyDescent="0.4">
      <c r="A791" s="2" t="s">
        <v>74</v>
      </c>
      <c r="B791" s="1" t="s">
        <v>1169</v>
      </c>
      <c r="C791" s="1" t="str">
        <f>"福山市沼隈町中山南469-3"</f>
        <v>福山市沼隈町中山南469-3</v>
      </c>
      <c r="D791" s="1" t="s">
        <v>531</v>
      </c>
      <c r="E791" s="3">
        <v>47087</v>
      </c>
      <c r="F791" s="2"/>
    </row>
    <row r="792" spans="1:6" ht="24.95" customHeight="1" x14ac:dyDescent="0.4">
      <c r="A792" s="2" t="s">
        <v>624</v>
      </c>
      <c r="B792" s="1" t="s">
        <v>1169</v>
      </c>
      <c r="C792" s="1" t="str">
        <f>"福山市沼隈町中山南469-3"</f>
        <v>福山市沼隈町中山南469-3</v>
      </c>
      <c r="D792" s="1" t="s">
        <v>324</v>
      </c>
      <c r="E792" s="3">
        <v>47087</v>
      </c>
      <c r="F792" s="2"/>
    </row>
    <row r="793" spans="1:6" ht="24.95" customHeight="1" x14ac:dyDescent="0.4">
      <c r="A793" s="2" t="s">
        <v>2423</v>
      </c>
      <c r="B793" s="1" t="s">
        <v>1169</v>
      </c>
      <c r="C793" s="1" t="str">
        <f>"福山市沼隈町中山南469-3"</f>
        <v>福山市沼隈町中山南469-3</v>
      </c>
      <c r="D793" s="1" t="s">
        <v>30</v>
      </c>
      <c r="E793" s="3">
        <v>45991</v>
      </c>
      <c r="F793" s="2"/>
    </row>
    <row r="794" spans="1:6" ht="24.95" customHeight="1" x14ac:dyDescent="0.4">
      <c r="A794" s="2" t="s">
        <v>1328</v>
      </c>
      <c r="B794" s="1" t="s">
        <v>800</v>
      </c>
      <c r="C794" s="1" t="str">
        <f>"福山市新涯町1-5-38"</f>
        <v>福山市新涯町1-5-38</v>
      </c>
      <c r="D794" s="1" t="s">
        <v>1452</v>
      </c>
      <c r="E794" s="3">
        <v>47087</v>
      </c>
      <c r="F794" s="2"/>
    </row>
    <row r="795" spans="1:6" ht="24.95" customHeight="1" x14ac:dyDescent="0.4">
      <c r="A795" s="2" t="s">
        <v>1455</v>
      </c>
      <c r="B795" s="1" t="s">
        <v>567</v>
      </c>
      <c r="C795" s="1" t="str">
        <f>"福山市新涯町2-5-8"</f>
        <v>福山市新涯町2-5-8</v>
      </c>
      <c r="D795" s="1" t="s">
        <v>531</v>
      </c>
      <c r="E795" s="3">
        <v>47087</v>
      </c>
      <c r="F795" s="2"/>
    </row>
    <row r="796" spans="1:6" ht="24.95" customHeight="1" x14ac:dyDescent="0.4">
      <c r="A796" s="2" t="s">
        <v>1672</v>
      </c>
      <c r="B796" s="1" t="s">
        <v>567</v>
      </c>
      <c r="C796" s="1" t="str">
        <f>"福山市新涯町2-5-8"</f>
        <v>福山市新涯町2-5-8</v>
      </c>
      <c r="D796" s="1" t="s">
        <v>531</v>
      </c>
      <c r="E796" s="3">
        <v>47087</v>
      </c>
      <c r="F796" s="2"/>
    </row>
    <row r="797" spans="1:6" ht="24.95" customHeight="1" x14ac:dyDescent="0.4">
      <c r="A797" s="2" t="s">
        <v>1840</v>
      </c>
      <c r="B797" s="1" t="s">
        <v>2171</v>
      </c>
      <c r="C797" s="1" t="str">
        <f>"福山市新涯町3-19-36"</f>
        <v>福山市新涯町3-19-36</v>
      </c>
      <c r="D797" s="1" t="s">
        <v>2172</v>
      </c>
      <c r="E797" s="3">
        <v>47087</v>
      </c>
      <c r="F797" s="2"/>
    </row>
    <row r="798" spans="1:6" ht="24.95" customHeight="1" x14ac:dyDescent="0.4">
      <c r="A798" s="2" t="s">
        <v>1701</v>
      </c>
      <c r="B798" s="1" t="s">
        <v>2290</v>
      </c>
      <c r="C798" s="1" t="str">
        <f>"福山市新市町宮内186-5"</f>
        <v>福山市新市町宮内186-5</v>
      </c>
      <c r="D798" s="1" t="s">
        <v>30</v>
      </c>
      <c r="E798" s="3">
        <v>46721</v>
      </c>
      <c r="F798" s="2"/>
    </row>
    <row r="799" spans="1:6" ht="24.95" customHeight="1" x14ac:dyDescent="0.4">
      <c r="A799" s="2" t="s">
        <v>489</v>
      </c>
      <c r="B799" s="1" t="s">
        <v>444</v>
      </c>
      <c r="C799" s="1" t="s">
        <v>491</v>
      </c>
      <c r="D799" s="1" t="s">
        <v>30</v>
      </c>
      <c r="E799" s="3">
        <v>47087</v>
      </c>
      <c r="F799" s="2"/>
    </row>
    <row r="800" spans="1:6" ht="24.95" customHeight="1" x14ac:dyDescent="0.4">
      <c r="A800" s="2" t="s">
        <v>334</v>
      </c>
      <c r="B800" s="1" t="s">
        <v>444</v>
      </c>
      <c r="C800" s="1" t="s">
        <v>491</v>
      </c>
      <c r="D800" s="1" t="s">
        <v>122</v>
      </c>
      <c r="E800" s="3">
        <v>47087</v>
      </c>
      <c r="F800" s="2"/>
    </row>
    <row r="801" spans="1:6" ht="24.95" customHeight="1" x14ac:dyDescent="0.4">
      <c r="A801" s="2" t="s">
        <v>1238</v>
      </c>
      <c r="B801" s="1" t="s">
        <v>444</v>
      </c>
      <c r="C801" s="1" t="s">
        <v>491</v>
      </c>
      <c r="D801" s="1" t="s">
        <v>531</v>
      </c>
      <c r="E801" s="3">
        <v>47087</v>
      </c>
      <c r="F801" s="2"/>
    </row>
    <row r="802" spans="1:6" ht="24.95" customHeight="1" x14ac:dyDescent="0.4">
      <c r="A802" s="2" t="s">
        <v>1243</v>
      </c>
      <c r="B802" s="1" t="s">
        <v>444</v>
      </c>
      <c r="C802" s="1" t="s">
        <v>491</v>
      </c>
      <c r="D802" s="1" t="s">
        <v>122</v>
      </c>
      <c r="E802" s="3">
        <v>47087</v>
      </c>
      <c r="F802" s="2"/>
    </row>
    <row r="803" spans="1:6" ht="24.95" customHeight="1" x14ac:dyDescent="0.4">
      <c r="A803" s="2" t="s">
        <v>1067</v>
      </c>
      <c r="B803" s="1" t="s">
        <v>444</v>
      </c>
      <c r="C803" s="1" t="s">
        <v>491</v>
      </c>
      <c r="D803" s="1" t="s">
        <v>30</v>
      </c>
      <c r="E803" s="3">
        <v>47087</v>
      </c>
      <c r="F803" s="2"/>
    </row>
    <row r="804" spans="1:6" ht="24.95" customHeight="1" x14ac:dyDescent="0.4">
      <c r="A804" s="2" t="s">
        <v>2251</v>
      </c>
      <c r="B804" s="1" t="s">
        <v>444</v>
      </c>
      <c r="C804" s="1" t="s">
        <v>491</v>
      </c>
      <c r="D804" s="1" t="s">
        <v>531</v>
      </c>
      <c r="E804" s="3">
        <v>46356</v>
      </c>
      <c r="F804" s="2"/>
    </row>
    <row r="805" spans="1:6" ht="24.95" customHeight="1" x14ac:dyDescent="0.4">
      <c r="A805" s="2" t="s">
        <v>1536</v>
      </c>
      <c r="B805" s="1" t="s">
        <v>444</v>
      </c>
      <c r="C805" s="1" t="s">
        <v>491</v>
      </c>
      <c r="D805" s="1" t="s">
        <v>324</v>
      </c>
      <c r="E805" s="3">
        <v>46721</v>
      </c>
      <c r="F805" s="2"/>
    </row>
    <row r="806" spans="1:6" ht="24.95" customHeight="1" x14ac:dyDescent="0.4">
      <c r="A806" s="2" t="s">
        <v>712</v>
      </c>
      <c r="B806" s="1" t="s">
        <v>444</v>
      </c>
      <c r="C806" s="1" t="s">
        <v>491</v>
      </c>
      <c r="D806" s="1" t="s">
        <v>531</v>
      </c>
      <c r="E806" s="3">
        <v>45626</v>
      </c>
      <c r="F806" s="2"/>
    </row>
    <row r="807" spans="1:6" ht="24.95" customHeight="1" x14ac:dyDescent="0.4">
      <c r="A807" s="2" t="s">
        <v>2063</v>
      </c>
      <c r="B807" s="1" t="s">
        <v>444</v>
      </c>
      <c r="C807" s="1" t="s">
        <v>491</v>
      </c>
      <c r="D807" s="1" t="s">
        <v>30</v>
      </c>
      <c r="E807" s="3">
        <v>47087</v>
      </c>
      <c r="F807" s="2"/>
    </row>
    <row r="808" spans="1:6" ht="24.95" customHeight="1" x14ac:dyDescent="0.4">
      <c r="A808" s="2" t="s">
        <v>2542</v>
      </c>
      <c r="B808" s="1" t="s">
        <v>1622</v>
      </c>
      <c r="C808" s="1" t="str">
        <f>"福山市新市町新市388-4"</f>
        <v>福山市新市町新市388-4</v>
      </c>
      <c r="D808" s="1" t="s">
        <v>643</v>
      </c>
      <c r="E808" s="3">
        <v>47087</v>
      </c>
      <c r="F808" s="2"/>
    </row>
    <row r="809" spans="1:6" ht="24.95" customHeight="1" x14ac:dyDescent="0.4">
      <c r="A809" s="2" t="s">
        <v>1965</v>
      </c>
      <c r="B809" s="1" t="s">
        <v>510</v>
      </c>
      <c r="C809" s="1" t="str">
        <f>"福山市新市町新市628-2"</f>
        <v>福山市新市町新市628-2</v>
      </c>
      <c r="D809" s="1" t="s">
        <v>576</v>
      </c>
      <c r="E809" s="3">
        <v>47087</v>
      </c>
      <c r="F809" s="2"/>
    </row>
    <row r="810" spans="1:6" ht="24.95" customHeight="1" x14ac:dyDescent="0.4">
      <c r="A810" s="2" t="s">
        <v>1644</v>
      </c>
      <c r="B810" s="1" t="s">
        <v>384</v>
      </c>
      <c r="C810" s="1" t="str">
        <f>"福山市神辺町下御領682-1"</f>
        <v>福山市神辺町下御領682-1</v>
      </c>
      <c r="D810" s="1" t="s">
        <v>324</v>
      </c>
      <c r="E810" s="3">
        <v>47087</v>
      </c>
      <c r="F810" s="2"/>
    </row>
    <row r="811" spans="1:6" ht="24.95" customHeight="1" x14ac:dyDescent="0.4">
      <c r="A811" s="2" t="s">
        <v>1645</v>
      </c>
      <c r="B811" s="1" t="s">
        <v>384</v>
      </c>
      <c r="C811" s="1" t="str">
        <f>"福山市神辺町下御領682-1"</f>
        <v>福山市神辺町下御領682-1</v>
      </c>
      <c r="D811" s="1" t="s">
        <v>324</v>
      </c>
      <c r="E811" s="3">
        <v>47087</v>
      </c>
      <c r="F811" s="2"/>
    </row>
    <row r="812" spans="1:6" ht="24.95" customHeight="1" x14ac:dyDescent="0.4">
      <c r="A812" s="2" t="s">
        <v>527</v>
      </c>
      <c r="B812" s="1" t="s">
        <v>529</v>
      </c>
      <c r="C812" s="1" t="str">
        <f>"福山市神辺町十三軒屋136-3"</f>
        <v>福山市神辺町十三軒屋136-3</v>
      </c>
      <c r="D812" s="1" t="s">
        <v>531</v>
      </c>
      <c r="E812" s="3">
        <v>47087</v>
      </c>
      <c r="F812" s="2"/>
    </row>
    <row r="813" spans="1:6" ht="24.95" customHeight="1" x14ac:dyDescent="0.4">
      <c r="A813" s="2" t="s">
        <v>2606</v>
      </c>
      <c r="B813" s="1" t="s">
        <v>1346</v>
      </c>
      <c r="C813" s="1" t="str">
        <f>"福山市神辺町新湯野41-5"</f>
        <v>福山市神辺町新湯野41-5</v>
      </c>
      <c r="D813" s="5" t="s">
        <v>507</v>
      </c>
      <c r="E813" s="3">
        <v>47087</v>
      </c>
      <c r="F813" s="2"/>
    </row>
    <row r="814" spans="1:6" ht="24.95" customHeight="1" x14ac:dyDescent="0.4">
      <c r="A814" s="2" t="s">
        <v>412</v>
      </c>
      <c r="B814" s="1" t="s">
        <v>2291</v>
      </c>
      <c r="C814" s="1" t="str">
        <f>"福山市神辺町新湯野74-18"</f>
        <v>福山市神辺町新湯野74-18</v>
      </c>
      <c r="D814" s="1" t="s">
        <v>324</v>
      </c>
      <c r="E814" s="3">
        <v>46721</v>
      </c>
      <c r="F814" s="2"/>
    </row>
    <row r="815" spans="1:6" ht="24.95" customHeight="1" x14ac:dyDescent="0.4">
      <c r="A815" s="2" t="s">
        <v>2498</v>
      </c>
      <c r="B815" s="1" t="s">
        <v>2499</v>
      </c>
      <c r="C815" s="1" t="str">
        <f>"福山市神辺町新道上30-1"</f>
        <v>福山市神辺町新道上30-1</v>
      </c>
      <c r="D815" s="1" t="s">
        <v>139</v>
      </c>
      <c r="E815" s="3">
        <v>46721</v>
      </c>
      <c r="F815" s="2"/>
    </row>
    <row r="816" spans="1:6" ht="24.95" customHeight="1" x14ac:dyDescent="0.4">
      <c r="A816" s="2" t="s">
        <v>283</v>
      </c>
      <c r="B816" s="1" t="s">
        <v>757</v>
      </c>
      <c r="C816" s="1" t="str">
        <f>"福山市神辺町新徳田2-309"</f>
        <v>福山市神辺町新徳田2-309</v>
      </c>
      <c r="D816" s="1" t="s">
        <v>139</v>
      </c>
      <c r="E816" s="3">
        <v>47087</v>
      </c>
      <c r="F816" s="2"/>
    </row>
    <row r="817" spans="1:6" ht="24.95" customHeight="1" x14ac:dyDescent="0.4">
      <c r="A817" s="2" t="s">
        <v>1811</v>
      </c>
      <c r="B817" s="1" t="s">
        <v>757</v>
      </c>
      <c r="C817" s="1" t="str">
        <f>"福山市神辺町新徳田2-309"</f>
        <v>福山市神辺町新徳田2-309</v>
      </c>
      <c r="D817" s="1"/>
      <c r="E817" s="3">
        <v>45991</v>
      </c>
      <c r="F817" s="2"/>
    </row>
    <row r="818" spans="1:6" ht="24.95" customHeight="1" x14ac:dyDescent="0.4">
      <c r="A818" s="2" t="s">
        <v>612</v>
      </c>
      <c r="B818" s="1" t="s">
        <v>2544</v>
      </c>
      <c r="C818" s="1" t="str">
        <f>"福山市神辺町新徳田545-1"</f>
        <v>福山市神辺町新徳田545-1</v>
      </c>
      <c r="D818" s="5" t="s">
        <v>2545</v>
      </c>
      <c r="E818" s="3">
        <v>47087</v>
      </c>
      <c r="F818" s="2"/>
    </row>
    <row r="819" spans="1:6" ht="24.95" customHeight="1" x14ac:dyDescent="0.4">
      <c r="A819" s="2" t="s">
        <v>1599</v>
      </c>
      <c r="B819" s="1" t="s">
        <v>259</v>
      </c>
      <c r="C819" s="1" t="str">
        <f>"福山市神辺町川南1044-4"</f>
        <v>福山市神辺町川南1044-4</v>
      </c>
      <c r="D819" s="1" t="s">
        <v>240</v>
      </c>
      <c r="E819" s="3">
        <v>47087</v>
      </c>
      <c r="F819" s="2"/>
    </row>
    <row r="820" spans="1:6" ht="24.95" customHeight="1" x14ac:dyDescent="0.4">
      <c r="A820" s="2" t="s">
        <v>1998</v>
      </c>
      <c r="B820" s="1" t="s">
        <v>1789</v>
      </c>
      <c r="C820" s="1" t="str">
        <f>"福山市神辺町川南105-1"</f>
        <v>福山市神辺町川南105-1</v>
      </c>
      <c r="D820" s="1" t="s">
        <v>324</v>
      </c>
      <c r="E820" s="3">
        <v>47087</v>
      </c>
      <c r="F820" s="2"/>
    </row>
    <row r="821" spans="1:6" ht="24.95" customHeight="1" x14ac:dyDescent="0.4">
      <c r="A821" s="2" t="s">
        <v>83</v>
      </c>
      <c r="B821" s="1" t="s">
        <v>87</v>
      </c>
      <c r="C821" s="1" t="s">
        <v>69</v>
      </c>
      <c r="D821" s="1" t="s">
        <v>88</v>
      </c>
      <c r="E821" s="3">
        <v>47087</v>
      </c>
      <c r="F821" s="2"/>
    </row>
    <row r="822" spans="1:6" ht="24.95" customHeight="1" x14ac:dyDescent="0.4">
      <c r="A822" s="2" t="s">
        <v>340</v>
      </c>
      <c r="B822" s="1" t="s">
        <v>342</v>
      </c>
      <c r="C822" s="1" t="str">
        <f>"福山市神辺町川南1373-5"</f>
        <v>福山市神辺町川南1373-5</v>
      </c>
      <c r="D822" s="1" t="s">
        <v>186</v>
      </c>
      <c r="E822" s="3">
        <v>47087</v>
      </c>
      <c r="F822" s="2"/>
    </row>
    <row r="823" spans="1:6" ht="24.95" customHeight="1" x14ac:dyDescent="0.4">
      <c r="A823" s="2" t="s">
        <v>6</v>
      </c>
      <c r="B823" s="1" t="s">
        <v>24</v>
      </c>
      <c r="C823" s="1" t="str">
        <f>"福山市神辺町川南3143-1"</f>
        <v>福山市神辺町川南3143-1</v>
      </c>
      <c r="D823" s="1" t="s">
        <v>139</v>
      </c>
      <c r="E823" s="3">
        <v>47087</v>
      </c>
      <c r="F823" s="2"/>
    </row>
    <row r="824" spans="1:6" ht="24.95" customHeight="1" x14ac:dyDescent="0.4">
      <c r="A824" s="2" t="s">
        <v>819</v>
      </c>
      <c r="B824" s="1" t="s">
        <v>263</v>
      </c>
      <c r="C824" s="1" t="str">
        <f>"福山市神辺町川南960-3"</f>
        <v>福山市神辺町川南960-3</v>
      </c>
      <c r="D824" s="1" t="s">
        <v>104</v>
      </c>
      <c r="E824" s="3">
        <v>47087</v>
      </c>
      <c r="F824" s="2"/>
    </row>
    <row r="825" spans="1:6" ht="24.95" customHeight="1" x14ac:dyDescent="0.4">
      <c r="A825" s="2" t="s">
        <v>749</v>
      </c>
      <c r="B825" s="1" t="s">
        <v>751</v>
      </c>
      <c r="C825" s="1" t="str">
        <f>"福山市神辺町川北1345-11"</f>
        <v>福山市神辺町川北1345-11</v>
      </c>
      <c r="D825" s="1" t="s">
        <v>192</v>
      </c>
      <c r="E825" s="3">
        <v>47087</v>
      </c>
      <c r="F825" s="2"/>
    </row>
    <row r="826" spans="1:6" ht="24.95" customHeight="1" x14ac:dyDescent="0.4">
      <c r="A826" s="2" t="s">
        <v>899</v>
      </c>
      <c r="B826" s="1" t="s">
        <v>565</v>
      </c>
      <c r="C826" s="1" t="s">
        <v>879</v>
      </c>
      <c r="D826" s="1" t="s">
        <v>186</v>
      </c>
      <c r="E826" s="3">
        <v>47087</v>
      </c>
      <c r="F826" s="2"/>
    </row>
    <row r="827" spans="1:6" ht="24.95" customHeight="1" x14ac:dyDescent="0.4">
      <c r="A827" s="2" t="s">
        <v>1996</v>
      </c>
      <c r="B827" s="1" t="s">
        <v>1997</v>
      </c>
      <c r="C827" s="1" t="str">
        <f>"福山市神辺町川北324-1"</f>
        <v>福山市神辺町川北324-1</v>
      </c>
      <c r="D827" s="1" t="s">
        <v>279</v>
      </c>
      <c r="E827" s="3">
        <v>47087</v>
      </c>
      <c r="F827" s="2"/>
    </row>
    <row r="828" spans="1:6" ht="24.95" customHeight="1" x14ac:dyDescent="0.4">
      <c r="A828" s="2" t="s">
        <v>1472</v>
      </c>
      <c r="B828" s="1" t="s">
        <v>110</v>
      </c>
      <c r="C828" s="1" t="str">
        <f>"福山市神辺町川北895-1"</f>
        <v>福山市神辺町川北895-1</v>
      </c>
      <c r="D828" s="1" t="s">
        <v>324</v>
      </c>
      <c r="E828" s="3">
        <v>47087</v>
      </c>
      <c r="F828" s="2"/>
    </row>
    <row r="829" spans="1:6" ht="24.95" customHeight="1" x14ac:dyDescent="0.4">
      <c r="A829" s="2" t="s">
        <v>1651</v>
      </c>
      <c r="B829" s="1" t="s">
        <v>2562</v>
      </c>
      <c r="C829" s="1" t="str">
        <f>"福山市神辺町川北954-4"</f>
        <v>福山市神辺町川北954-4</v>
      </c>
      <c r="D829" s="1" t="s">
        <v>531</v>
      </c>
      <c r="E829" s="3">
        <v>47087</v>
      </c>
      <c r="F829" s="2"/>
    </row>
    <row r="830" spans="1:6" ht="24.95" customHeight="1" x14ac:dyDescent="0.4">
      <c r="A830" s="2" t="s">
        <v>1930</v>
      </c>
      <c r="B830" s="1" t="s">
        <v>1931</v>
      </c>
      <c r="C830" s="1" t="str">
        <f>"福山市神辺町道上1-17"</f>
        <v>福山市神辺町道上1-17</v>
      </c>
      <c r="D830" s="1" t="s">
        <v>30</v>
      </c>
      <c r="E830" s="3">
        <v>47087</v>
      </c>
      <c r="F830" s="2"/>
    </row>
    <row r="831" spans="1:6" ht="24.95" customHeight="1" x14ac:dyDescent="0.4">
      <c r="A831" s="2" t="s">
        <v>1806</v>
      </c>
      <c r="B831" s="1" t="s">
        <v>1931</v>
      </c>
      <c r="C831" s="1" t="str">
        <f>"福山市神辺町道上1-17"</f>
        <v>福山市神辺町道上1-17</v>
      </c>
      <c r="D831" s="1" t="s">
        <v>30</v>
      </c>
      <c r="E831" s="3">
        <v>47087</v>
      </c>
      <c r="F831" s="2"/>
    </row>
    <row r="832" spans="1:6" ht="24.95" customHeight="1" x14ac:dyDescent="0.4">
      <c r="A832" s="2" t="s">
        <v>1139</v>
      </c>
      <c r="B832" s="1" t="s">
        <v>441</v>
      </c>
      <c r="C832" s="1" t="s">
        <v>927</v>
      </c>
      <c r="D832" s="1" t="s">
        <v>122</v>
      </c>
      <c r="E832" s="3">
        <v>47087</v>
      </c>
      <c r="F832" s="2"/>
    </row>
    <row r="833" spans="1:6" ht="24.95" customHeight="1" x14ac:dyDescent="0.4">
      <c r="A833" s="2" t="s">
        <v>1892</v>
      </c>
      <c r="B833" s="1" t="s">
        <v>2321</v>
      </c>
      <c r="C833" s="1" t="s">
        <v>927</v>
      </c>
      <c r="D833" s="1" t="s">
        <v>240</v>
      </c>
      <c r="E833" s="3">
        <v>47087</v>
      </c>
      <c r="F833" s="2"/>
    </row>
    <row r="834" spans="1:6" ht="24.95" customHeight="1" x14ac:dyDescent="0.4">
      <c r="A834" s="2" t="s">
        <v>47</v>
      </c>
      <c r="B834" s="1" t="s">
        <v>27</v>
      </c>
      <c r="C834" s="1" t="str">
        <f>"福山市神辺町平野121-5"</f>
        <v>福山市神辺町平野121-5</v>
      </c>
      <c r="D834" s="1" t="s">
        <v>73</v>
      </c>
      <c r="E834" s="3">
        <v>47087</v>
      </c>
      <c r="F834" s="2"/>
    </row>
    <row r="835" spans="1:6" ht="24.95" customHeight="1" x14ac:dyDescent="0.4">
      <c r="A835" s="2" t="s">
        <v>2236</v>
      </c>
      <c r="B835" s="1" t="s">
        <v>246</v>
      </c>
      <c r="C835" s="1" t="str">
        <f>"福山市水呑三新田1-538"</f>
        <v>福山市水呑三新田1-538</v>
      </c>
      <c r="D835" s="1" t="s">
        <v>104</v>
      </c>
      <c r="E835" s="3">
        <v>46356</v>
      </c>
      <c r="F835" s="2"/>
    </row>
    <row r="836" spans="1:6" ht="24.95" customHeight="1" x14ac:dyDescent="0.4">
      <c r="A836" s="2" t="s">
        <v>585</v>
      </c>
      <c r="B836" s="1" t="s">
        <v>765</v>
      </c>
      <c r="C836" s="1" t="str">
        <f>"福山市水呑町1947-2"</f>
        <v>福山市水呑町1947-2</v>
      </c>
      <c r="D836" s="1" t="s">
        <v>934</v>
      </c>
      <c r="E836" s="3">
        <v>47087</v>
      </c>
      <c r="F836" s="2"/>
    </row>
    <row r="837" spans="1:6" ht="24.95" customHeight="1" x14ac:dyDescent="0.4">
      <c r="A837" s="2" t="s">
        <v>1356</v>
      </c>
      <c r="B837" s="1" t="s">
        <v>765</v>
      </c>
      <c r="C837" s="1" t="str">
        <f>"福山市水呑町1947-2"</f>
        <v>福山市水呑町1947-2</v>
      </c>
      <c r="D837" s="1" t="s">
        <v>30</v>
      </c>
      <c r="E837" s="3">
        <v>47087</v>
      </c>
      <c r="F837" s="2"/>
    </row>
    <row r="838" spans="1:6" ht="24.95" customHeight="1" x14ac:dyDescent="0.4">
      <c r="A838" s="2" t="s">
        <v>374</v>
      </c>
      <c r="B838" s="1" t="s">
        <v>765</v>
      </c>
      <c r="C838" s="1" t="str">
        <f>"福山市水呑町1947-2"</f>
        <v>福山市水呑町1947-2</v>
      </c>
      <c r="D838" s="1" t="s">
        <v>2080</v>
      </c>
      <c r="E838" s="3">
        <v>45991</v>
      </c>
      <c r="F838" s="2"/>
    </row>
    <row r="839" spans="1:6" ht="24.95" customHeight="1" x14ac:dyDescent="0.4">
      <c r="A839" s="2" t="s">
        <v>2442</v>
      </c>
      <c r="B839" s="1" t="s">
        <v>765</v>
      </c>
      <c r="C839" s="1" t="str">
        <f>"福山市水呑町1947-2"</f>
        <v>福山市水呑町1947-2</v>
      </c>
      <c r="D839" s="1" t="s">
        <v>2080</v>
      </c>
      <c r="E839" s="3">
        <v>46356</v>
      </c>
      <c r="F839" s="2"/>
    </row>
    <row r="840" spans="1:6" ht="24.95" customHeight="1" x14ac:dyDescent="0.4">
      <c r="A840" s="2" t="s">
        <v>2756</v>
      </c>
      <c r="B840" s="1" t="s">
        <v>765</v>
      </c>
      <c r="C840" s="1" t="str">
        <f>"福山市水呑町1947-2"</f>
        <v>福山市水呑町1947-2</v>
      </c>
      <c r="D840" s="1" t="s">
        <v>30</v>
      </c>
      <c r="E840" s="3">
        <v>46356</v>
      </c>
      <c r="F840" s="2"/>
    </row>
    <row r="841" spans="1:6" ht="24.95" customHeight="1" x14ac:dyDescent="0.4">
      <c r="A841" s="2" t="s">
        <v>1560</v>
      </c>
      <c r="B841" s="1" t="s">
        <v>1197</v>
      </c>
      <c r="C841" s="1" t="str">
        <f>"福山市水呑町2030-3"</f>
        <v>福山市水呑町2030-3</v>
      </c>
      <c r="D841" s="1" t="s">
        <v>30</v>
      </c>
      <c r="E841" s="3">
        <v>47087</v>
      </c>
      <c r="F841" s="2"/>
    </row>
    <row r="842" spans="1:6" ht="24.95" customHeight="1" x14ac:dyDescent="0.4">
      <c r="A842" s="2" t="s">
        <v>1544</v>
      </c>
      <c r="B842" s="1" t="s">
        <v>2202</v>
      </c>
      <c r="C842" s="1" t="s">
        <v>2253</v>
      </c>
      <c r="D842" s="1" t="s">
        <v>279</v>
      </c>
      <c r="E842" s="3">
        <v>45991</v>
      </c>
      <c r="F842" s="2"/>
    </row>
    <row r="843" spans="1:6" ht="24.95" customHeight="1" x14ac:dyDescent="0.4">
      <c r="A843" s="2" t="s">
        <v>1883</v>
      </c>
      <c r="B843" s="1" t="s">
        <v>2234</v>
      </c>
      <c r="C843" s="1" t="str">
        <f>"福山市水呑町7302-2"</f>
        <v>福山市水呑町7302-2</v>
      </c>
      <c r="D843" s="1" t="s">
        <v>2235</v>
      </c>
      <c r="E843" s="3">
        <v>46356</v>
      </c>
      <c r="F843" s="2"/>
    </row>
    <row r="844" spans="1:6" ht="24.95" customHeight="1" x14ac:dyDescent="0.4">
      <c r="A844" s="2" t="s">
        <v>620</v>
      </c>
      <c r="B844" s="1" t="s">
        <v>621</v>
      </c>
      <c r="C844" s="1" t="str">
        <f>"福山市水呑町三新田2-233"</f>
        <v>福山市水呑町三新田2-233</v>
      </c>
      <c r="D844" s="1" t="s">
        <v>618</v>
      </c>
      <c r="E844" s="3">
        <v>47087</v>
      </c>
      <c r="F844" s="2"/>
    </row>
    <row r="845" spans="1:6" ht="24.95" customHeight="1" x14ac:dyDescent="0.4">
      <c r="A845" s="2" t="s">
        <v>152</v>
      </c>
      <c r="B845" s="1" t="s">
        <v>777</v>
      </c>
      <c r="C845" s="1" t="str">
        <f>"福山市水呑町三新田2-28"</f>
        <v>福山市水呑町三新田2-28</v>
      </c>
      <c r="D845" s="1" t="s">
        <v>88</v>
      </c>
      <c r="E845" s="3">
        <v>47087</v>
      </c>
      <c r="F845" s="2"/>
    </row>
    <row r="846" spans="1:6" ht="24.95" customHeight="1" x14ac:dyDescent="0.4">
      <c r="A846" s="2" t="s">
        <v>2015</v>
      </c>
      <c r="B846" s="1" t="s">
        <v>523</v>
      </c>
      <c r="C846" s="1" t="str">
        <f>"福山市瀬戸町山北450-1"</f>
        <v>福山市瀬戸町山北450-1</v>
      </c>
      <c r="D846" s="5" t="s">
        <v>2016</v>
      </c>
      <c r="E846" s="3">
        <v>47087</v>
      </c>
      <c r="F846" s="2"/>
    </row>
    <row r="847" spans="1:6" ht="24.95" customHeight="1" x14ac:dyDescent="0.4">
      <c r="A847" s="2" t="s">
        <v>2334</v>
      </c>
      <c r="B847" s="1" t="s">
        <v>661</v>
      </c>
      <c r="C847" s="1" t="str">
        <f>"福山市瀬戸町長和185-3"</f>
        <v>福山市瀬戸町長和185-3</v>
      </c>
      <c r="D847" s="5" t="s">
        <v>662</v>
      </c>
      <c r="E847" s="3">
        <v>47087</v>
      </c>
      <c r="F847" s="2"/>
    </row>
    <row r="848" spans="1:6" ht="24.95" customHeight="1" x14ac:dyDescent="0.4">
      <c r="A848" s="2" t="s">
        <v>1923</v>
      </c>
      <c r="B848" s="1" t="s">
        <v>318</v>
      </c>
      <c r="C848" s="1" t="str">
        <f>"福山市西新涯町2-10-12"</f>
        <v>福山市西新涯町2-10-12</v>
      </c>
      <c r="D848" s="1" t="s">
        <v>1747</v>
      </c>
      <c r="E848" s="3">
        <v>47087</v>
      </c>
      <c r="F848" s="2"/>
    </row>
    <row r="849" spans="1:6" ht="24.95" customHeight="1" x14ac:dyDescent="0.4">
      <c r="A849" s="2" t="s">
        <v>23</v>
      </c>
      <c r="B849" s="1" t="s">
        <v>1012</v>
      </c>
      <c r="C849" s="1" t="str">
        <f>"福山市西深津町4-2-50"</f>
        <v>福山市西深津町4-2-50</v>
      </c>
      <c r="D849" s="1" t="s">
        <v>1014</v>
      </c>
      <c r="E849" s="3">
        <v>47087</v>
      </c>
      <c r="F849" s="2"/>
    </row>
    <row r="850" spans="1:6" ht="24.95" customHeight="1" x14ac:dyDescent="0.4">
      <c r="A850" s="2" t="s">
        <v>2256</v>
      </c>
      <c r="B850" s="1" t="s">
        <v>1012</v>
      </c>
      <c r="C850" s="1" t="str">
        <f>"福山市西深津町4-2-50"</f>
        <v>福山市西深津町4-2-50</v>
      </c>
      <c r="D850" s="1" t="s">
        <v>794</v>
      </c>
      <c r="E850" s="3">
        <v>46356</v>
      </c>
      <c r="F850" s="2"/>
    </row>
    <row r="851" spans="1:6" ht="24.95" customHeight="1" x14ac:dyDescent="0.4">
      <c r="A851" s="2" t="s">
        <v>680</v>
      </c>
      <c r="B851" s="1" t="s">
        <v>168</v>
      </c>
      <c r="C851" s="1" t="str">
        <f>"福山市西深津町6-13-5"</f>
        <v>福山市西深津町6-13-5</v>
      </c>
      <c r="D851" s="1" t="s">
        <v>681</v>
      </c>
      <c r="E851" s="3">
        <v>47087</v>
      </c>
      <c r="F851" s="2"/>
    </row>
    <row r="852" spans="1:6" ht="24.95" customHeight="1" x14ac:dyDescent="0.4">
      <c r="A852" s="2" t="s">
        <v>939</v>
      </c>
      <c r="B852" s="1" t="s">
        <v>40</v>
      </c>
      <c r="C852" s="1" t="str">
        <f>"福山市西町1-4-1"</f>
        <v>福山市西町1-4-1</v>
      </c>
      <c r="D852" s="1" t="s">
        <v>106</v>
      </c>
      <c r="E852" s="3">
        <v>47087</v>
      </c>
      <c r="F852" s="2"/>
    </row>
    <row r="853" spans="1:6" ht="24.95" customHeight="1" x14ac:dyDescent="0.4">
      <c r="A853" s="2" t="s">
        <v>2600</v>
      </c>
      <c r="B853" s="1" t="s">
        <v>2102</v>
      </c>
      <c r="C853" s="1" t="str">
        <f>"福山市西町2-14-18"</f>
        <v>福山市西町2-14-18</v>
      </c>
      <c r="D853" s="1" t="s">
        <v>30</v>
      </c>
      <c r="E853" s="3">
        <v>45991</v>
      </c>
      <c r="F853" s="2"/>
    </row>
    <row r="854" spans="1:6" ht="24.95" customHeight="1" x14ac:dyDescent="0.4">
      <c r="A854" s="2" t="s">
        <v>1234</v>
      </c>
      <c r="B854" s="1" t="s">
        <v>1214</v>
      </c>
      <c r="C854" s="1" t="s">
        <v>1235</v>
      </c>
      <c r="D854" s="1" t="s">
        <v>531</v>
      </c>
      <c r="E854" s="3">
        <v>47087</v>
      </c>
      <c r="F854" s="2"/>
    </row>
    <row r="855" spans="1:6" ht="24.95" customHeight="1" x14ac:dyDescent="0.4">
      <c r="A855" s="2" t="s">
        <v>349</v>
      </c>
      <c r="B855" s="1" t="s">
        <v>1214</v>
      </c>
      <c r="C855" s="1" t="s">
        <v>1235</v>
      </c>
      <c r="D855" s="1" t="s">
        <v>122</v>
      </c>
      <c r="E855" s="3">
        <v>46721</v>
      </c>
      <c r="F855" s="2"/>
    </row>
    <row r="856" spans="1:6" ht="24.95" customHeight="1" x14ac:dyDescent="0.4">
      <c r="A856" s="2" t="s">
        <v>462</v>
      </c>
      <c r="B856" s="1" t="s">
        <v>1214</v>
      </c>
      <c r="C856" s="1" t="s">
        <v>1235</v>
      </c>
      <c r="D856" s="1" t="s">
        <v>1023</v>
      </c>
      <c r="E856" s="3">
        <v>45626</v>
      </c>
      <c r="F856" s="2"/>
    </row>
    <row r="857" spans="1:6" ht="24.95" customHeight="1" x14ac:dyDescent="0.4">
      <c r="A857" s="2" t="s">
        <v>2582</v>
      </c>
      <c r="B857" s="1" t="s">
        <v>1214</v>
      </c>
      <c r="C857" s="1" t="s">
        <v>1235</v>
      </c>
      <c r="D857" s="1" t="s">
        <v>30</v>
      </c>
      <c r="E857" s="3">
        <v>47087</v>
      </c>
      <c r="F857" s="2"/>
    </row>
    <row r="858" spans="1:6" ht="24.95" customHeight="1" x14ac:dyDescent="0.4">
      <c r="A858" s="2" t="s">
        <v>2749</v>
      </c>
      <c r="B858" s="1" t="s">
        <v>394</v>
      </c>
      <c r="C858" s="1" t="s">
        <v>2121</v>
      </c>
      <c r="D858" s="1" t="s">
        <v>192</v>
      </c>
      <c r="E858" s="3">
        <v>45991</v>
      </c>
      <c r="F858" s="2"/>
    </row>
    <row r="859" spans="1:6" ht="24.95" customHeight="1" x14ac:dyDescent="0.4">
      <c r="A859" s="2" t="s">
        <v>1377</v>
      </c>
      <c r="B859" s="1" t="s">
        <v>1484</v>
      </c>
      <c r="C859" s="1" t="str">
        <f>"福山市千田町2-47-6"</f>
        <v>福山市千田町2-47-6</v>
      </c>
      <c r="D859" s="1" t="s">
        <v>30</v>
      </c>
      <c r="E859" s="3">
        <v>47087</v>
      </c>
      <c r="F859" s="2"/>
    </row>
    <row r="860" spans="1:6" ht="24.95" customHeight="1" x14ac:dyDescent="0.4">
      <c r="A860" s="2" t="s">
        <v>2176</v>
      </c>
      <c r="B860" s="1" t="s">
        <v>2177</v>
      </c>
      <c r="C860" s="1" t="str">
        <f>"福山市川口町1-7-15"</f>
        <v>福山市川口町1-7-15</v>
      </c>
      <c r="D860" s="1" t="s">
        <v>531</v>
      </c>
      <c r="E860" s="3">
        <v>47087</v>
      </c>
      <c r="F860" s="2"/>
    </row>
    <row r="861" spans="1:6" ht="24.95" customHeight="1" x14ac:dyDescent="0.4">
      <c r="A861" s="2" t="s">
        <v>1109</v>
      </c>
      <c r="B861" s="1" t="s">
        <v>836</v>
      </c>
      <c r="C861" s="1" t="str">
        <f>"福山市川口町4-12-37"</f>
        <v>福山市川口町4-12-37</v>
      </c>
      <c r="D861" s="1" t="s">
        <v>30</v>
      </c>
      <c r="E861" s="3">
        <v>47087</v>
      </c>
      <c r="F861" s="2"/>
    </row>
    <row r="862" spans="1:6" ht="24.95" customHeight="1" x14ac:dyDescent="0.4">
      <c r="A862" s="2" t="s">
        <v>322</v>
      </c>
      <c r="B862" s="1" t="s">
        <v>836</v>
      </c>
      <c r="C862" s="1" t="str">
        <f>"福山市川口町4-12-37"</f>
        <v>福山市川口町4-12-37</v>
      </c>
      <c r="D862" s="1" t="s">
        <v>1110</v>
      </c>
      <c r="E862" s="3">
        <v>47087</v>
      </c>
      <c r="F862" s="2"/>
    </row>
    <row r="863" spans="1:6" ht="24.95" customHeight="1" x14ac:dyDescent="0.4">
      <c r="A863" s="2" t="s">
        <v>2039</v>
      </c>
      <c r="B863" s="1" t="s">
        <v>2040</v>
      </c>
      <c r="C863" s="1" t="str">
        <f>"福山市川口町4-13-10"</f>
        <v>福山市川口町4-13-10</v>
      </c>
      <c r="D863" s="1" t="s">
        <v>103</v>
      </c>
      <c r="E863" s="3">
        <v>47087</v>
      </c>
      <c r="F863" s="2"/>
    </row>
    <row r="864" spans="1:6" ht="24.95" customHeight="1" x14ac:dyDescent="0.4">
      <c r="A864" s="2" t="s">
        <v>1500</v>
      </c>
      <c r="B864" s="1" t="s">
        <v>1948</v>
      </c>
      <c r="C864" s="1" t="str">
        <f>"福山市川口町4-21-31"</f>
        <v>福山市川口町4-21-31</v>
      </c>
      <c r="D864" s="1" t="s">
        <v>139</v>
      </c>
      <c r="E864" s="3">
        <v>47087</v>
      </c>
      <c r="F864" s="2"/>
    </row>
    <row r="865" spans="1:6" ht="24.95" customHeight="1" x14ac:dyDescent="0.4">
      <c r="A865" s="2" t="s">
        <v>1152</v>
      </c>
      <c r="B865" s="1" t="s">
        <v>2560</v>
      </c>
      <c r="C865" s="1" t="str">
        <f>"福山市船町3-4"</f>
        <v>福山市船町3-4</v>
      </c>
      <c r="D865" s="1" t="s">
        <v>113</v>
      </c>
      <c r="E865" s="3">
        <v>47087</v>
      </c>
      <c r="F865" s="2"/>
    </row>
    <row r="866" spans="1:6" ht="24.95" customHeight="1" x14ac:dyDescent="0.4">
      <c r="A866" s="2" t="s">
        <v>432</v>
      </c>
      <c r="B866" s="1" t="s">
        <v>1118</v>
      </c>
      <c r="C866" s="1" t="str">
        <f t="shared" ref="C866:C897" si="21">"福山市蔵王町5-23-1"</f>
        <v>福山市蔵王町5-23-1</v>
      </c>
      <c r="D866" s="1" t="s">
        <v>122</v>
      </c>
      <c r="E866" s="3">
        <v>47087</v>
      </c>
      <c r="F866" s="2"/>
    </row>
    <row r="867" spans="1:6" ht="24.95" customHeight="1" x14ac:dyDescent="0.4">
      <c r="A867" s="2" t="s">
        <v>545</v>
      </c>
      <c r="B867" s="1" t="s">
        <v>1118</v>
      </c>
      <c r="C867" s="1" t="str">
        <f t="shared" si="21"/>
        <v>福山市蔵王町5-23-1</v>
      </c>
      <c r="D867" s="1" t="s">
        <v>104</v>
      </c>
      <c r="E867" s="3">
        <v>47087</v>
      </c>
      <c r="F867" s="2"/>
    </row>
    <row r="868" spans="1:6" ht="24.95" customHeight="1" x14ac:dyDescent="0.4">
      <c r="A868" s="2" t="s">
        <v>1926</v>
      </c>
      <c r="B868" s="1" t="s">
        <v>1118</v>
      </c>
      <c r="C868" s="1" t="str">
        <f t="shared" si="21"/>
        <v>福山市蔵王町5-23-1</v>
      </c>
      <c r="D868" s="1" t="s">
        <v>30</v>
      </c>
      <c r="E868" s="3">
        <v>47087</v>
      </c>
      <c r="F868" s="2"/>
    </row>
    <row r="869" spans="1:6" ht="24.95" customHeight="1" x14ac:dyDescent="0.4">
      <c r="A869" s="2" t="s">
        <v>1927</v>
      </c>
      <c r="B869" s="1" t="s">
        <v>1118</v>
      </c>
      <c r="C869" s="1" t="str">
        <f t="shared" si="21"/>
        <v>福山市蔵王町5-23-1</v>
      </c>
      <c r="D869" s="1" t="s">
        <v>30</v>
      </c>
      <c r="E869" s="3">
        <v>47087</v>
      </c>
      <c r="F869" s="2"/>
    </row>
    <row r="870" spans="1:6" ht="24.95" customHeight="1" x14ac:dyDescent="0.4">
      <c r="A870" s="2" t="s">
        <v>1928</v>
      </c>
      <c r="B870" s="1" t="s">
        <v>1118</v>
      </c>
      <c r="C870" s="1" t="str">
        <f t="shared" si="21"/>
        <v>福山市蔵王町5-23-1</v>
      </c>
      <c r="D870" s="1" t="s">
        <v>30</v>
      </c>
      <c r="E870" s="3">
        <v>47087</v>
      </c>
      <c r="F870" s="2"/>
    </row>
    <row r="871" spans="1:6" ht="24.95" customHeight="1" x14ac:dyDescent="0.4">
      <c r="A871" s="2" t="s">
        <v>478</v>
      </c>
      <c r="B871" s="1" t="s">
        <v>1118</v>
      </c>
      <c r="C871" s="1" t="str">
        <f t="shared" si="21"/>
        <v>福山市蔵王町5-23-1</v>
      </c>
      <c r="D871" s="1" t="s">
        <v>30</v>
      </c>
      <c r="E871" s="3">
        <v>47087</v>
      </c>
      <c r="F871" s="2"/>
    </row>
    <row r="872" spans="1:6" ht="24.95" customHeight="1" x14ac:dyDescent="0.4">
      <c r="A872" s="2" t="s">
        <v>1804</v>
      </c>
      <c r="B872" s="1" t="s">
        <v>1118</v>
      </c>
      <c r="C872" s="1" t="str">
        <f t="shared" si="21"/>
        <v>福山市蔵王町5-23-1</v>
      </c>
      <c r="D872" s="1" t="s">
        <v>955</v>
      </c>
      <c r="E872" s="3">
        <v>47087</v>
      </c>
      <c r="F872" s="2"/>
    </row>
    <row r="873" spans="1:6" ht="24.95" customHeight="1" x14ac:dyDescent="0.4">
      <c r="A873" s="2" t="s">
        <v>1932</v>
      </c>
      <c r="B873" s="1" t="s">
        <v>1118</v>
      </c>
      <c r="C873" s="1" t="str">
        <f t="shared" si="21"/>
        <v>福山市蔵王町5-23-1</v>
      </c>
      <c r="D873" s="1" t="s">
        <v>531</v>
      </c>
      <c r="E873" s="3">
        <v>47087</v>
      </c>
      <c r="F873" s="2"/>
    </row>
    <row r="874" spans="1:6" ht="24.95" customHeight="1" x14ac:dyDescent="0.4">
      <c r="A874" s="2" t="s">
        <v>1933</v>
      </c>
      <c r="B874" s="1" t="s">
        <v>1118</v>
      </c>
      <c r="C874" s="1" t="str">
        <f t="shared" si="21"/>
        <v>福山市蔵王町5-23-1</v>
      </c>
      <c r="D874" s="1" t="s">
        <v>531</v>
      </c>
      <c r="E874" s="3">
        <v>47087</v>
      </c>
      <c r="F874" s="2"/>
    </row>
    <row r="875" spans="1:6" ht="24.95" customHeight="1" x14ac:dyDescent="0.4">
      <c r="A875" s="2" t="s">
        <v>1936</v>
      </c>
      <c r="B875" s="1" t="s">
        <v>1118</v>
      </c>
      <c r="C875" s="1" t="str">
        <f t="shared" si="21"/>
        <v>福山市蔵王町5-23-1</v>
      </c>
      <c r="D875" s="1" t="s">
        <v>531</v>
      </c>
      <c r="E875" s="3">
        <v>47087</v>
      </c>
      <c r="F875" s="2"/>
    </row>
    <row r="876" spans="1:6" ht="24.95" customHeight="1" x14ac:dyDescent="0.4">
      <c r="A876" s="2" t="s">
        <v>442</v>
      </c>
      <c r="B876" s="1" t="s">
        <v>1118</v>
      </c>
      <c r="C876" s="1" t="str">
        <f t="shared" si="21"/>
        <v>福山市蔵王町5-23-1</v>
      </c>
      <c r="D876" s="1" t="s">
        <v>104</v>
      </c>
      <c r="E876" s="3">
        <v>47087</v>
      </c>
      <c r="F876" s="2"/>
    </row>
    <row r="877" spans="1:6" ht="24.95" customHeight="1" x14ac:dyDescent="0.4">
      <c r="A877" s="2" t="s">
        <v>1458</v>
      </c>
      <c r="B877" s="1" t="s">
        <v>1118</v>
      </c>
      <c r="C877" s="1" t="str">
        <f t="shared" si="21"/>
        <v>福山市蔵王町5-23-1</v>
      </c>
      <c r="D877" s="1" t="s">
        <v>104</v>
      </c>
      <c r="E877" s="3">
        <v>47087</v>
      </c>
      <c r="F877" s="2"/>
    </row>
    <row r="878" spans="1:6" ht="24.95" customHeight="1" x14ac:dyDescent="0.4">
      <c r="A878" s="2" t="s">
        <v>660</v>
      </c>
      <c r="B878" s="1" t="s">
        <v>1118</v>
      </c>
      <c r="C878" s="1" t="str">
        <f t="shared" si="21"/>
        <v>福山市蔵王町5-23-1</v>
      </c>
      <c r="D878" s="1" t="s">
        <v>122</v>
      </c>
      <c r="E878" s="3">
        <v>47087</v>
      </c>
      <c r="F878" s="2"/>
    </row>
    <row r="879" spans="1:6" ht="24.95" customHeight="1" x14ac:dyDescent="0.4">
      <c r="A879" s="2" t="s">
        <v>652</v>
      </c>
      <c r="B879" s="1" t="s">
        <v>1118</v>
      </c>
      <c r="C879" s="1" t="str">
        <f t="shared" si="21"/>
        <v>福山市蔵王町5-23-1</v>
      </c>
      <c r="D879" s="1" t="s">
        <v>324</v>
      </c>
      <c r="E879" s="3">
        <v>47087</v>
      </c>
      <c r="F879" s="2"/>
    </row>
    <row r="880" spans="1:6" ht="24.95" customHeight="1" x14ac:dyDescent="0.4">
      <c r="A880" s="2" t="s">
        <v>1956</v>
      </c>
      <c r="B880" s="1" t="s">
        <v>1118</v>
      </c>
      <c r="C880" s="1" t="str">
        <f t="shared" si="21"/>
        <v>福山市蔵王町5-23-1</v>
      </c>
      <c r="D880" s="1" t="s">
        <v>88</v>
      </c>
      <c r="E880" s="3">
        <v>47087</v>
      </c>
      <c r="F880" s="2"/>
    </row>
    <row r="881" spans="1:6" ht="24.95" customHeight="1" x14ac:dyDescent="0.4">
      <c r="A881" s="2" t="s">
        <v>1957</v>
      </c>
      <c r="B881" s="1" t="s">
        <v>1118</v>
      </c>
      <c r="C881" s="1" t="str">
        <f t="shared" si="21"/>
        <v>福山市蔵王町5-23-1</v>
      </c>
      <c r="D881" s="1" t="s">
        <v>1307</v>
      </c>
      <c r="E881" s="3">
        <v>47087</v>
      </c>
      <c r="F881" s="2"/>
    </row>
    <row r="882" spans="1:6" ht="24.95" customHeight="1" x14ac:dyDescent="0.4">
      <c r="A882" s="2" t="s">
        <v>890</v>
      </c>
      <c r="B882" s="1" t="s">
        <v>1118</v>
      </c>
      <c r="C882" s="1" t="str">
        <f t="shared" si="21"/>
        <v>福山市蔵王町5-23-1</v>
      </c>
      <c r="D882" s="1" t="s">
        <v>88</v>
      </c>
      <c r="E882" s="3">
        <v>47087</v>
      </c>
      <c r="F882" s="2"/>
    </row>
    <row r="883" spans="1:6" ht="24.95" customHeight="1" x14ac:dyDescent="0.4">
      <c r="A883" s="2" t="s">
        <v>493</v>
      </c>
      <c r="B883" s="1" t="s">
        <v>1118</v>
      </c>
      <c r="C883" s="1" t="str">
        <f t="shared" si="21"/>
        <v>福山市蔵王町5-23-1</v>
      </c>
      <c r="D883" s="1" t="s">
        <v>344</v>
      </c>
      <c r="E883" s="3">
        <v>47087</v>
      </c>
      <c r="F883" s="2"/>
    </row>
    <row r="884" spans="1:6" ht="24.95" customHeight="1" x14ac:dyDescent="0.4">
      <c r="A884" s="2" t="s">
        <v>1959</v>
      </c>
      <c r="B884" s="1" t="s">
        <v>1118</v>
      </c>
      <c r="C884" s="1" t="str">
        <f t="shared" si="21"/>
        <v>福山市蔵王町5-23-1</v>
      </c>
      <c r="D884" s="1" t="s">
        <v>335</v>
      </c>
      <c r="E884" s="3">
        <v>47087</v>
      </c>
      <c r="F884" s="2"/>
    </row>
    <row r="885" spans="1:6" ht="24.95" customHeight="1" x14ac:dyDescent="0.4">
      <c r="A885" s="2" t="s">
        <v>1961</v>
      </c>
      <c r="B885" s="1" t="s">
        <v>1118</v>
      </c>
      <c r="C885" s="1" t="str">
        <f t="shared" si="21"/>
        <v>福山市蔵王町5-23-1</v>
      </c>
      <c r="D885" s="1" t="s">
        <v>1962</v>
      </c>
      <c r="E885" s="3">
        <v>47087</v>
      </c>
      <c r="F885" s="2"/>
    </row>
    <row r="886" spans="1:6" ht="24.95" customHeight="1" x14ac:dyDescent="0.4">
      <c r="A886" s="2" t="s">
        <v>1637</v>
      </c>
      <c r="B886" s="1" t="s">
        <v>1118</v>
      </c>
      <c r="C886" s="1" t="str">
        <f t="shared" si="21"/>
        <v>福山市蔵王町5-23-1</v>
      </c>
      <c r="D886" s="1" t="s">
        <v>274</v>
      </c>
      <c r="E886" s="3">
        <v>47087</v>
      </c>
      <c r="F886" s="2"/>
    </row>
    <row r="887" spans="1:6" ht="24.95" customHeight="1" x14ac:dyDescent="0.4">
      <c r="A887" s="2" t="s">
        <v>1964</v>
      </c>
      <c r="B887" s="1" t="s">
        <v>1118</v>
      </c>
      <c r="C887" s="1" t="str">
        <f t="shared" si="21"/>
        <v>福山市蔵王町5-23-1</v>
      </c>
      <c r="D887" s="1" t="s">
        <v>274</v>
      </c>
      <c r="E887" s="3">
        <v>47087</v>
      </c>
      <c r="F887" s="2"/>
    </row>
    <row r="888" spans="1:6" ht="24.95" customHeight="1" x14ac:dyDescent="0.4">
      <c r="A888" s="2" t="s">
        <v>9</v>
      </c>
      <c r="B888" s="1" t="s">
        <v>1118</v>
      </c>
      <c r="C888" s="1" t="str">
        <f t="shared" si="21"/>
        <v>福山市蔵王町5-23-1</v>
      </c>
      <c r="D888" s="1" t="s">
        <v>104</v>
      </c>
      <c r="E888" s="3">
        <v>47087</v>
      </c>
      <c r="F888" s="2"/>
    </row>
    <row r="889" spans="1:6" ht="24.95" customHeight="1" x14ac:dyDescent="0.4">
      <c r="A889" s="2" t="s">
        <v>1906</v>
      </c>
      <c r="B889" s="1" t="s">
        <v>1118</v>
      </c>
      <c r="C889" s="1" t="str">
        <f t="shared" si="21"/>
        <v>福山市蔵王町5-23-1</v>
      </c>
      <c r="D889" s="1" t="s">
        <v>30</v>
      </c>
      <c r="E889" s="3">
        <v>47087</v>
      </c>
      <c r="F889" s="2"/>
    </row>
    <row r="890" spans="1:6" ht="24.95" customHeight="1" x14ac:dyDescent="0.4">
      <c r="A890" s="2" t="s">
        <v>2059</v>
      </c>
      <c r="B890" s="1" t="s">
        <v>1118</v>
      </c>
      <c r="C890" s="1" t="str">
        <f t="shared" si="21"/>
        <v>福山市蔵王町5-23-1</v>
      </c>
      <c r="D890" s="1" t="s">
        <v>531</v>
      </c>
      <c r="E890" s="3">
        <v>47087</v>
      </c>
      <c r="F890" s="2"/>
    </row>
    <row r="891" spans="1:6" ht="24.95" customHeight="1" x14ac:dyDescent="0.4">
      <c r="A891" s="2" t="s">
        <v>951</v>
      </c>
      <c r="B891" s="1" t="s">
        <v>1118</v>
      </c>
      <c r="C891" s="1" t="str">
        <f t="shared" si="21"/>
        <v>福山市蔵王町5-23-1</v>
      </c>
      <c r="D891" s="1" t="s">
        <v>104</v>
      </c>
      <c r="E891" s="3">
        <v>47087</v>
      </c>
      <c r="F891" s="2"/>
    </row>
    <row r="892" spans="1:6" ht="24.95" customHeight="1" x14ac:dyDescent="0.4">
      <c r="A892" s="2" t="s">
        <v>2108</v>
      </c>
      <c r="B892" s="1" t="s">
        <v>1118</v>
      </c>
      <c r="C892" s="1" t="str">
        <f t="shared" si="21"/>
        <v>福山市蔵王町5-23-1</v>
      </c>
      <c r="D892" s="1" t="s">
        <v>30</v>
      </c>
      <c r="E892" s="3">
        <v>47087</v>
      </c>
      <c r="F892" s="2"/>
    </row>
    <row r="893" spans="1:6" ht="24.95" customHeight="1" x14ac:dyDescent="0.4">
      <c r="A893" s="2" t="s">
        <v>2111</v>
      </c>
      <c r="B893" s="1" t="s">
        <v>1118</v>
      </c>
      <c r="C893" s="1" t="str">
        <f t="shared" si="21"/>
        <v>福山市蔵王町5-23-1</v>
      </c>
      <c r="D893" s="1" t="s">
        <v>30</v>
      </c>
      <c r="E893" s="3">
        <v>47087</v>
      </c>
      <c r="F893" s="2"/>
    </row>
    <row r="894" spans="1:6" ht="24.95" customHeight="1" x14ac:dyDescent="0.4">
      <c r="A894" s="2" t="s">
        <v>1418</v>
      </c>
      <c r="B894" s="1" t="s">
        <v>1118</v>
      </c>
      <c r="C894" s="1" t="str">
        <f t="shared" si="21"/>
        <v>福山市蔵王町5-23-1</v>
      </c>
      <c r="D894" s="1" t="s">
        <v>104</v>
      </c>
      <c r="E894" s="3">
        <v>47087</v>
      </c>
      <c r="F894" s="2"/>
    </row>
    <row r="895" spans="1:6" ht="24.95" customHeight="1" x14ac:dyDescent="0.4">
      <c r="A895" s="2" t="s">
        <v>2233</v>
      </c>
      <c r="B895" s="1" t="s">
        <v>1118</v>
      </c>
      <c r="C895" s="1" t="str">
        <f t="shared" si="21"/>
        <v>福山市蔵王町5-23-1</v>
      </c>
      <c r="D895" s="1" t="s">
        <v>324</v>
      </c>
      <c r="E895" s="3">
        <v>46356</v>
      </c>
      <c r="F895" s="2"/>
    </row>
    <row r="896" spans="1:6" ht="24.95" customHeight="1" x14ac:dyDescent="0.4">
      <c r="A896" s="2" t="s">
        <v>1555</v>
      </c>
      <c r="B896" s="1" t="s">
        <v>1118</v>
      </c>
      <c r="C896" s="1" t="str">
        <f t="shared" si="21"/>
        <v>福山市蔵王町5-23-1</v>
      </c>
      <c r="D896" s="1" t="s">
        <v>176</v>
      </c>
      <c r="E896" s="3">
        <v>46356</v>
      </c>
      <c r="F896" s="2"/>
    </row>
    <row r="897" spans="1:6" ht="24.95" customHeight="1" x14ac:dyDescent="0.4">
      <c r="A897" s="2" t="s">
        <v>1064</v>
      </c>
      <c r="B897" s="1" t="s">
        <v>1118</v>
      </c>
      <c r="C897" s="1" t="str">
        <f t="shared" si="21"/>
        <v>福山市蔵王町5-23-1</v>
      </c>
      <c r="D897" s="1" t="s">
        <v>58</v>
      </c>
      <c r="E897" s="3">
        <v>46356</v>
      </c>
      <c r="F897" s="2"/>
    </row>
    <row r="898" spans="1:6" ht="24.95" customHeight="1" x14ac:dyDescent="0.4">
      <c r="A898" s="2" t="s">
        <v>485</v>
      </c>
      <c r="B898" s="1" t="s">
        <v>1118</v>
      </c>
      <c r="C898" s="1" t="str">
        <f t="shared" ref="C898:C922" si="22">"福山市蔵王町5-23-1"</f>
        <v>福山市蔵王町5-23-1</v>
      </c>
      <c r="D898" s="1" t="s">
        <v>240</v>
      </c>
      <c r="E898" s="3">
        <v>46356</v>
      </c>
      <c r="F898" s="2"/>
    </row>
    <row r="899" spans="1:6" ht="24.95" customHeight="1" x14ac:dyDescent="0.4">
      <c r="A899" s="2" t="s">
        <v>713</v>
      </c>
      <c r="B899" s="1" t="s">
        <v>1118</v>
      </c>
      <c r="C899" s="1" t="str">
        <f t="shared" si="22"/>
        <v>福山市蔵王町5-23-1</v>
      </c>
      <c r="D899" s="1" t="s">
        <v>240</v>
      </c>
      <c r="E899" s="3">
        <v>46356</v>
      </c>
      <c r="F899" s="2"/>
    </row>
    <row r="900" spans="1:6" ht="24.95" customHeight="1" x14ac:dyDescent="0.4">
      <c r="A900" s="2" t="s">
        <v>2119</v>
      </c>
      <c r="B900" s="1" t="s">
        <v>1118</v>
      </c>
      <c r="C900" s="1" t="str">
        <f t="shared" si="22"/>
        <v>福山市蔵王町5-23-1</v>
      </c>
      <c r="D900" s="1" t="s">
        <v>30</v>
      </c>
      <c r="E900" s="3">
        <v>47087</v>
      </c>
      <c r="F900" s="2"/>
    </row>
    <row r="901" spans="1:6" ht="24.95" customHeight="1" x14ac:dyDescent="0.4">
      <c r="A901" s="2" t="s">
        <v>2351</v>
      </c>
      <c r="B901" s="1" t="s">
        <v>1118</v>
      </c>
      <c r="C901" s="1" t="str">
        <f t="shared" si="22"/>
        <v>福山市蔵王町5-23-1</v>
      </c>
      <c r="D901" s="1" t="s">
        <v>700</v>
      </c>
      <c r="E901" s="3">
        <v>45626</v>
      </c>
      <c r="F901" s="2"/>
    </row>
    <row r="902" spans="1:6" ht="24.95" customHeight="1" x14ac:dyDescent="0.4">
      <c r="A902" s="2" t="s">
        <v>2352</v>
      </c>
      <c r="B902" s="1" t="s">
        <v>1118</v>
      </c>
      <c r="C902" s="1" t="str">
        <f t="shared" si="22"/>
        <v>福山市蔵王町5-23-1</v>
      </c>
      <c r="D902" s="1" t="s">
        <v>30</v>
      </c>
      <c r="E902" s="3">
        <v>45626</v>
      </c>
      <c r="F902" s="2"/>
    </row>
    <row r="903" spans="1:6" ht="24.95" customHeight="1" x14ac:dyDescent="0.4">
      <c r="A903" s="2" t="s">
        <v>2353</v>
      </c>
      <c r="B903" s="1" t="s">
        <v>1118</v>
      </c>
      <c r="C903" s="1" t="str">
        <f t="shared" si="22"/>
        <v>福山市蔵王町5-23-1</v>
      </c>
      <c r="D903" s="1" t="s">
        <v>30</v>
      </c>
      <c r="E903" s="3">
        <v>45626</v>
      </c>
      <c r="F903" s="2"/>
    </row>
    <row r="904" spans="1:6" ht="24.95" customHeight="1" x14ac:dyDescent="0.4">
      <c r="A904" s="2" t="s">
        <v>2369</v>
      </c>
      <c r="B904" s="1" t="s">
        <v>1118</v>
      </c>
      <c r="C904" s="1" t="str">
        <f t="shared" si="22"/>
        <v>福山市蔵王町5-23-1</v>
      </c>
      <c r="D904" s="1" t="s">
        <v>1277</v>
      </c>
      <c r="E904" s="3">
        <v>45626</v>
      </c>
      <c r="F904" s="2"/>
    </row>
    <row r="905" spans="1:6" ht="24.95" customHeight="1" x14ac:dyDescent="0.4">
      <c r="A905" s="2" t="s">
        <v>728</v>
      </c>
      <c r="B905" s="1" t="s">
        <v>1118</v>
      </c>
      <c r="C905" s="1" t="str">
        <f t="shared" si="22"/>
        <v>福山市蔵王町5-23-1</v>
      </c>
      <c r="D905" s="1" t="s">
        <v>576</v>
      </c>
      <c r="E905" s="3">
        <v>45991</v>
      </c>
      <c r="F905" s="2"/>
    </row>
    <row r="906" spans="1:6" ht="24.95" customHeight="1" x14ac:dyDescent="0.4">
      <c r="A906" s="2" t="s">
        <v>2403</v>
      </c>
      <c r="B906" s="1" t="s">
        <v>1118</v>
      </c>
      <c r="C906" s="1" t="str">
        <f t="shared" si="22"/>
        <v>福山市蔵王町5-23-1</v>
      </c>
      <c r="D906" s="1" t="s">
        <v>88</v>
      </c>
      <c r="E906" s="3">
        <v>45991</v>
      </c>
      <c r="F906" s="2"/>
    </row>
    <row r="907" spans="1:6" ht="24.95" customHeight="1" x14ac:dyDescent="0.4">
      <c r="A907" s="2" t="s">
        <v>2270</v>
      </c>
      <c r="B907" s="1" t="s">
        <v>1118</v>
      </c>
      <c r="C907" s="1" t="str">
        <f t="shared" si="22"/>
        <v>福山市蔵王町5-23-1</v>
      </c>
      <c r="D907" s="1" t="s">
        <v>30</v>
      </c>
      <c r="E907" s="3">
        <v>45991</v>
      </c>
      <c r="F907" s="2"/>
    </row>
    <row r="908" spans="1:6" ht="24.95" customHeight="1" x14ac:dyDescent="0.4">
      <c r="A908" s="2" t="s">
        <v>2405</v>
      </c>
      <c r="B908" s="1" t="s">
        <v>1118</v>
      </c>
      <c r="C908" s="1" t="str">
        <f t="shared" si="22"/>
        <v>福山市蔵王町5-23-1</v>
      </c>
      <c r="D908" s="1" t="s">
        <v>104</v>
      </c>
      <c r="E908" s="3">
        <v>45991</v>
      </c>
      <c r="F908" s="2"/>
    </row>
    <row r="909" spans="1:6" ht="24.95" customHeight="1" x14ac:dyDescent="0.4">
      <c r="A909" s="2" t="s">
        <v>2410</v>
      </c>
      <c r="B909" s="1" t="s">
        <v>1118</v>
      </c>
      <c r="C909" s="1" t="str">
        <f t="shared" si="22"/>
        <v>福山市蔵王町5-23-1</v>
      </c>
      <c r="D909" s="1" t="s">
        <v>240</v>
      </c>
      <c r="E909" s="3">
        <v>45991</v>
      </c>
      <c r="F909" s="2"/>
    </row>
    <row r="910" spans="1:6" ht="24.95" customHeight="1" x14ac:dyDescent="0.4">
      <c r="A910" s="2" t="s">
        <v>2411</v>
      </c>
      <c r="B910" s="1" t="s">
        <v>1118</v>
      </c>
      <c r="C910" s="1" t="str">
        <f t="shared" si="22"/>
        <v>福山市蔵王町5-23-1</v>
      </c>
      <c r="D910" s="1" t="s">
        <v>30</v>
      </c>
      <c r="E910" s="3">
        <v>45991</v>
      </c>
      <c r="F910" s="2"/>
    </row>
    <row r="911" spans="1:6" ht="24.95" customHeight="1" x14ac:dyDescent="0.4">
      <c r="A911" s="2" t="s">
        <v>2413</v>
      </c>
      <c r="B911" s="1" t="s">
        <v>1118</v>
      </c>
      <c r="C911" s="1" t="str">
        <f t="shared" si="22"/>
        <v>福山市蔵王町5-23-1</v>
      </c>
      <c r="D911" s="1" t="s">
        <v>139</v>
      </c>
      <c r="E911" s="3">
        <v>45991</v>
      </c>
      <c r="F911" s="2"/>
    </row>
    <row r="912" spans="1:6" ht="24.95" customHeight="1" x14ac:dyDescent="0.4">
      <c r="A912" s="2" t="s">
        <v>2443</v>
      </c>
      <c r="B912" s="1" t="s">
        <v>1118</v>
      </c>
      <c r="C912" s="1" t="str">
        <f t="shared" si="22"/>
        <v>福山市蔵王町5-23-1</v>
      </c>
      <c r="D912" s="1" t="s">
        <v>286</v>
      </c>
      <c r="E912" s="3">
        <v>46356</v>
      </c>
      <c r="F912" s="2"/>
    </row>
    <row r="913" spans="1:6" ht="24.95" customHeight="1" x14ac:dyDescent="0.4">
      <c r="A913" s="2" t="s">
        <v>2452</v>
      </c>
      <c r="B913" s="1" t="s">
        <v>1118</v>
      </c>
      <c r="C913" s="1" t="str">
        <f t="shared" si="22"/>
        <v>福山市蔵王町5-23-1</v>
      </c>
      <c r="D913" s="1" t="s">
        <v>30</v>
      </c>
      <c r="E913" s="3">
        <v>46356</v>
      </c>
      <c r="F913" s="2"/>
    </row>
    <row r="914" spans="1:6" ht="24.95" customHeight="1" x14ac:dyDescent="0.4">
      <c r="A914" s="2" t="s">
        <v>345</v>
      </c>
      <c r="B914" s="1" t="s">
        <v>1118</v>
      </c>
      <c r="C914" s="1" t="str">
        <f t="shared" si="22"/>
        <v>福山市蔵王町5-23-1</v>
      </c>
      <c r="D914" s="1" t="s">
        <v>122</v>
      </c>
      <c r="E914" s="3">
        <v>46356</v>
      </c>
      <c r="F914" s="2"/>
    </row>
    <row r="915" spans="1:6" ht="24.95" customHeight="1" x14ac:dyDescent="0.4">
      <c r="A915" s="2" t="s">
        <v>2478</v>
      </c>
      <c r="B915" s="1" t="s">
        <v>1118</v>
      </c>
      <c r="C915" s="1" t="str">
        <f t="shared" si="22"/>
        <v>福山市蔵王町5-23-1</v>
      </c>
      <c r="D915" s="1" t="s">
        <v>30</v>
      </c>
      <c r="E915" s="3">
        <v>46721</v>
      </c>
      <c r="F915" s="2"/>
    </row>
    <row r="916" spans="1:6" ht="24.95" customHeight="1" x14ac:dyDescent="0.4">
      <c r="A916" s="2" t="s">
        <v>2494</v>
      </c>
      <c r="B916" s="1" t="s">
        <v>1118</v>
      </c>
      <c r="C916" s="1" t="str">
        <f t="shared" si="22"/>
        <v>福山市蔵王町5-23-1</v>
      </c>
      <c r="D916" s="1" t="s">
        <v>30</v>
      </c>
      <c r="E916" s="3">
        <v>46721</v>
      </c>
      <c r="F916" s="2"/>
    </row>
    <row r="917" spans="1:6" ht="24.95" customHeight="1" x14ac:dyDescent="0.4">
      <c r="A917" s="2" t="s">
        <v>502</v>
      </c>
      <c r="B917" s="1" t="s">
        <v>1118</v>
      </c>
      <c r="C917" s="1" t="str">
        <f t="shared" si="22"/>
        <v>福山市蔵王町5-23-1</v>
      </c>
      <c r="D917" s="1" t="s">
        <v>324</v>
      </c>
      <c r="E917" s="3">
        <v>46721</v>
      </c>
      <c r="F917" s="2"/>
    </row>
    <row r="918" spans="1:6" ht="24.95" customHeight="1" x14ac:dyDescent="0.4">
      <c r="A918" s="2" t="s">
        <v>2519</v>
      </c>
      <c r="B918" s="1" t="s">
        <v>1118</v>
      </c>
      <c r="C918" s="1" t="str">
        <f t="shared" si="22"/>
        <v>福山市蔵王町5-23-1</v>
      </c>
      <c r="D918" s="1" t="s">
        <v>1277</v>
      </c>
      <c r="E918" s="3">
        <v>47087</v>
      </c>
      <c r="F918" s="2"/>
    </row>
    <row r="919" spans="1:6" ht="24.95" customHeight="1" x14ac:dyDescent="0.4">
      <c r="A919" s="2" t="s">
        <v>1904</v>
      </c>
      <c r="B919" s="1" t="s">
        <v>1118</v>
      </c>
      <c r="C919" s="1" t="str">
        <f t="shared" si="22"/>
        <v>福山市蔵王町5-23-1</v>
      </c>
      <c r="D919" s="1" t="s">
        <v>30</v>
      </c>
      <c r="E919" s="3">
        <v>47087</v>
      </c>
      <c r="F919" s="2"/>
    </row>
    <row r="920" spans="1:6" ht="24.95" customHeight="1" x14ac:dyDescent="0.4">
      <c r="A920" s="2" t="s">
        <v>1339</v>
      </c>
      <c r="B920" s="1" t="s">
        <v>1118</v>
      </c>
      <c r="C920" s="1" t="str">
        <f t="shared" si="22"/>
        <v>福山市蔵王町5-23-1</v>
      </c>
      <c r="D920" s="1" t="s">
        <v>67</v>
      </c>
      <c r="E920" s="3">
        <v>45991</v>
      </c>
      <c r="F920" s="2"/>
    </row>
    <row r="921" spans="1:6" ht="24.95" customHeight="1" x14ac:dyDescent="0.4">
      <c r="A921" s="2" t="s">
        <v>2761</v>
      </c>
      <c r="B921" s="1" t="s">
        <v>1118</v>
      </c>
      <c r="C921" s="1" t="str">
        <f t="shared" si="22"/>
        <v>福山市蔵王町5-23-1</v>
      </c>
      <c r="D921" s="1" t="s">
        <v>30</v>
      </c>
      <c r="E921" s="3">
        <v>46356</v>
      </c>
      <c r="F921" s="2"/>
    </row>
    <row r="922" spans="1:6" ht="24.95" customHeight="1" x14ac:dyDescent="0.4">
      <c r="A922" s="2" t="s">
        <v>2764</v>
      </c>
      <c r="B922" s="1" t="s">
        <v>1118</v>
      </c>
      <c r="C922" s="1" t="str">
        <f t="shared" si="22"/>
        <v>福山市蔵王町5-23-1</v>
      </c>
      <c r="D922" s="1" t="s">
        <v>30</v>
      </c>
      <c r="E922" s="3">
        <v>46721</v>
      </c>
      <c r="F922" s="2"/>
    </row>
    <row r="923" spans="1:6" ht="24.95" customHeight="1" x14ac:dyDescent="0.4">
      <c r="A923" s="2" t="s">
        <v>1483</v>
      </c>
      <c r="B923" s="1" t="s">
        <v>605</v>
      </c>
      <c r="C923" s="1" t="str">
        <f>"福山市多治米町1-11-23"</f>
        <v>福山市多治米町1-11-23</v>
      </c>
      <c r="D923" s="1" t="s">
        <v>1863</v>
      </c>
      <c r="E923" s="3">
        <v>47087</v>
      </c>
      <c r="F923" s="2"/>
    </row>
    <row r="924" spans="1:6" ht="24.95" customHeight="1" x14ac:dyDescent="0.4">
      <c r="A924" s="2" t="s">
        <v>830</v>
      </c>
      <c r="B924" s="1" t="s">
        <v>2249</v>
      </c>
      <c r="C924" s="1" t="str">
        <f>"福山市多治米町2-14-12"</f>
        <v>福山市多治米町2-14-12</v>
      </c>
      <c r="D924" s="1" t="s">
        <v>41</v>
      </c>
      <c r="E924" s="3">
        <v>46356</v>
      </c>
      <c r="F924" s="2"/>
    </row>
    <row r="925" spans="1:6" ht="24.95" customHeight="1" x14ac:dyDescent="0.4">
      <c r="A925" s="2" t="s">
        <v>449</v>
      </c>
      <c r="B925" s="1" t="s">
        <v>452</v>
      </c>
      <c r="C925" s="1" t="str">
        <f>"福山市多治米町2-15-16"</f>
        <v>福山市多治米町2-15-16</v>
      </c>
      <c r="D925" s="1" t="s">
        <v>220</v>
      </c>
      <c r="E925" s="3">
        <v>47087</v>
      </c>
      <c r="F925" s="2"/>
    </row>
    <row r="926" spans="1:6" ht="24.95" customHeight="1" x14ac:dyDescent="0.4">
      <c r="A926" s="2" t="s">
        <v>1429</v>
      </c>
      <c r="B926" s="1" t="s">
        <v>249</v>
      </c>
      <c r="C926" s="1" t="str">
        <f>"福山市多治米町5-23-29-101"</f>
        <v>福山市多治米町5-23-29-101</v>
      </c>
      <c r="D926" s="1" t="s">
        <v>324</v>
      </c>
      <c r="E926" s="3">
        <v>47087</v>
      </c>
      <c r="F926" s="2"/>
    </row>
    <row r="927" spans="1:6" ht="24.95" customHeight="1" x14ac:dyDescent="0.4">
      <c r="A927" s="2" t="s">
        <v>938</v>
      </c>
      <c r="B927" s="1" t="s">
        <v>2295</v>
      </c>
      <c r="C927" s="1" t="str">
        <f>"福山市多治米町5-23-30-202"</f>
        <v>福山市多治米町5-23-30-202</v>
      </c>
      <c r="D927" s="1" t="s">
        <v>2296</v>
      </c>
      <c r="E927" s="3">
        <v>46721</v>
      </c>
      <c r="F927" s="2"/>
    </row>
    <row r="928" spans="1:6" ht="24.95" customHeight="1" x14ac:dyDescent="0.4">
      <c r="A928" s="2" t="s">
        <v>1783</v>
      </c>
      <c r="B928" s="1" t="s">
        <v>1784</v>
      </c>
      <c r="C928" s="1" t="str">
        <f>"福山市多治米町5-23-30-2F"</f>
        <v>福山市多治米町5-23-30-2F</v>
      </c>
      <c r="D928" s="1" t="s">
        <v>91</v>
      </c>
      <c r="E928" s="3">
        <v>47087</v>
      </c>
      <c r="F928" s="2"/>
    </row>
    <row r="929" spans="1:6" ht="24.95" customHeight="1" x14ac:dyDescent="0.4">
      <c r="A929" s="2" t="s">
        <v>2556</v>
      </c>
      <c r="B929" s="1" t="s">
        <v>2557</v>
      </c>
      <c r="C929" s="1" t="str">
        <f>"福山市大黒町1-8"</f>
        <v>福山市大黒町1-8</v>
      </c>
      <c r="D929" s="1" t="s">
        <v>30</v>
      </c>
      <c r="E929" s="3">
        <v>47087</v>
      </c>
      <c r="F929" s="2"/>
    </row>
    <row r="930" spans="1:6" ht="24.95" customHeight="1" x14ac:dyDescent="0.4">
      <c r="A930" s="2" t="s">
        <v>2103</v>
      </c>
      <c r="B930" s="1" t="s">
        <v>2104</v>
      </c>
      <c r="C930" s="1" t="str">
        <f>"福山市大黒町2-39"</f>
        <v>福山市大黒町2-39</v>
      </c>
      <c r="D930" s="1" t="s">
        <v>139</v>
      </c>
      <c r="E930" s="3">
        <v>47087</v>
      </c>
      <c r="F930" s="2"/>
    </row>
    <row r="931" spans="1:6" ht="24.95" customHeight="1" x14ac:dyDescent="0.4">
      <c r="A931" s="2" t="s">
        <v>2587</v>
      </c>
      <c r="B931" s="1" t="s">
        <v>2104</v>
      </c>
      <c r="C931" s="1" t="str">
        <f>"福山市大黒町2-39"</f>
        <v>福山市大黒町2-39</v>
      </c>
      <c r="D931" s="1" t="s">
        <v>139</v>
      </c>
      <c r="E931" s="3">
        <v>46721</v>
      </c>
      <c r="F931" s="2"/>
    </row>
    <row r="932" spans="1:6" ht="24.95" customHeight="1" x14ac:dyDescent="0.4">
      <c r="A932" s="2" t="s">
        <v>1312</v>
      </c>
      <c r="B932" s="1" t="s">
        <v>260</v>
      </c>
      <c r="C932" s="1" t="str">
        <f>"福山市大黒町2-7"</f>
        <v>福山市大黒町2-7</v>
      </c>
      <c r="D932" s="1" t="s">
        <v>503</v>
      </c>
      <c r="E932" s="3">
        <v>47087</v>
      </c>
      <c r="F932" s="2"/>
    </row>
    <row r="933" spans="1:6" ht="24.95" customHeight="1" x14ac:dyDescent="0.4">
      <c r="A933" s="2" t="s">
        <v>665</v>
      </c>
      <c r="B933" s="1" t="s">
        <v>667</v>
      </c>
      <c r="C933" s="1" t="str">
        <f>"福山市大門町1-40-12"</f>
        <v>福山市大門町1-40-12</v>
      </c>
      <c r="D933" s="1" t="s">
        <v>139</v>
      </c>
      <c r="E933" s="3">
        <v>47087</v>
      </c>
      <c r="F933" s="2"/>
    </row>
    <row r="934" spans="1:6" ht="24.95" customHeight="1" x14ac:dyDescent="0.4">
      <c r="A934" s="2" t="s">
        <v>475</v>
      </c>
      <c r="B934" s="1" t="s">
        <v>667</v>
      </c>
      <c r="C934" s="1" t="str">
        <f>"福山市大門町1-40-12"</f>
        <v>福山市大門町1-40-12</v>
      </c>
      <c r="D934" s="1" t="s">
        <v>514</v>
      </c>
      <c r="E934" s="3">
        <v>47087</v>
      </c>
      <c r="F934" s="2"/>
    </row>
    <row r="935" spans="1:6" ht="24.95" customHeight="1" x14ac:dyDescent="0.4">
      <c r="A935" s="2" t="s">
        <v>488</v>
      </c>
      <c r="B935" s="1" t="s">
        <v>549</v>
      </c>
      <c r="C935" s="1" t="str">
        <f>"福山市大門町3-19-14"</f>
        <v>福山市大門町3-19-14</v>
      </c>
      <c r="D935" s="1" t="s">
        <v>187</v>
      </c>
      <c r="E935" s="3">
        <v>47087</v>
      </c>
      <c r="F935" s="2"/>
    </row>
    <row r="936" spans="1:6" ht="24.95" customHeight="1" x14ac:dyDescent="0.4">
      <c r="A936" s="2" t="s">
        <v>2265</v>
      </c>
      <c r="B936" s="1" t="s">
        <v>2266</v>
      </c>
      <c r="C936" s="1" t="str">
        <f>"福山市大門町3-28-43"</f>
        <v>福山市大門町3-28-43</v>
      </c>
      <c r="D936" s="1" t="s">
        <v>122</v>
      </c>
      <c r="E936" s="3">
        <v>46356</v>
      </c>
      <c r="F936" s="2"/>
    </row>
    <row r="937" spans="1:6" ht="24.95" customHeight="1" x14ac:dyDescent="0.4">
      <c r="A937" s="2" t="s">
        <v>1254</v>
      </c>
      <c r="B937" s="1" t="s">
        <v>1251</v>
      </c>
      <c r="C937" s="1" t="s">
        <v>1255</v>
      </c>
      <c r="D937" s="1" t="s">
        <v>181</v>
      </c>
      <c r="E937" s="3">
        <v>47087</v>
      </c>
      <c r="F937" s="2"/>
    </row>
    <row r="938" spans="1:6" ht="24.95" customHeight="1" x14ac:dyDescent="0.4">
      <c r="A938" s="2" t="s">
        <v>606</v>
      </c>
      <c r="B938" s="1" t="s">
        <v>1251</v>
      </c>
      <c r="C938" s="1" t="s">
        <v>1255</v>
      </c>
      <c r="D938" s="1" t="s">
        <v>30</v>
      </c>
      <c r="E938" s="3">
        <v>47087</v>
      </c>
      <c r="F938" s="2"/>
    </row>
    <row r="939" spans="1:6" ht="24.95" customHeight="1" x14ac:dyDescent="0.4">
      <c r="A939" s="2" t="s">
        <v>872</v>
      </c>
      <c r="B939" s="1" t="s">
        <v>1251</v>
      </c>
      <c r="C939" s="1" t="s">
        <v>1255</v>
      </c>
      <c r="D939" s="1" t="s">
        <v>30</v>
      </c>
      <c r="E939" s="3">
        <v>47087</v>
      </c>
      <c r="F939" s="2"/>
    </row>
    <row r="940" spans="1:6" ht="24.95" customHeight="1" x14ac:dyDescent="0.4">
      <c r="A940" s="2" t="s">
        <v>1256</v>
      </c>
      <c r="B940" s="1" t="s">
        <v>1251</v>
      </c>
      <c r="C940" s="1" t="s">
        <v>1255</v>
      </c>
      <c r="D940" s="1" t="s">
        <v>30</v>
      </c>
      <c r="E940" s="3">
        <v>47087</v>
      </c>
      <c r="F940" s="2"/>
    </row>
    <row r="941" spans="1:6" ht="24.95" customHeight="1" x14ac:dyDescent="0.4">
      <c r="A941" s="2" t="s">
        <v>1123</v>
      </c>
      <c r="B941" s="1" t="s">
        <v>1251</v>
      </c>
      <c r="C941" s="1" t="s">
        <v>1255</v>
      </c>
      <c r="D941" s="1" t="s">
        <v>179</v>
      </c>
      <c r="E941" s="3">
        <v>47087</v>
      </c>
      <c r="F941" s="2"/>
    </row>
    <row r="942" spans="1:6" ht="24.95" customHeight="1" x14ac:dyDescent="0.4">
      <c r="A942" s="2" t="s">
        <v>350</v>
      </c>
      <c r="B942" s="1" t="s">
        <v>1251</v>
      </c>
      <c r="C942" s="1" t="s">
        <v>1255</v>
      </c>
      <c r="D942" s="1" t="s">
        <v>531</v>
      </c>
      <c r="E942" s="3">
        <v>47087</v>
      </c>
      <c r="F942" s="2"/>
    </row>
    <row r="943" spans="1:6" ht="24.95" customHeight="1" x14ac:dyDescent="0.4">
      <c r="A943" s="2" t="s">
        <v>1259</v>
      </c>
      <c r="B943" s="1" t="s">
        <v>1251</v>
      </c>
      <c r="C943" s="1" t="s">
        <v>1255</v>
      </c>
      <c r="D943" s="1" t="s">
        <v>531</v>
      </c>
      <c r="E943" s="3">
        <v>47087</v>
      </c>
      <c r="F943" s="2"/>
    </row>
    <row r="944" spans="1:6" ht="24.95" customHeight="1" x14ac:dyDescent="0.4">
      <c r="A944" s="2" t="s">
        <v>1262</v>
      </c>
      <c r="B944" s="1" t="s">
        <v>1251</v>
      </c>
      <c r="C944" s="1" t="s">
        <v>1255</v>
      </c>
      <c r="D944" s="1" t="s">
        <v>324</v>
      </c>
      <c r="E944" s="3">
        <v>47087</v>
      </c>
      <c r="F944" s="2"/>
    </row>
    <row r="945" spans="1:6" ht="24.95" customHeight="1" x14ac:dyDescent="0.4">
      <c r="A945" s="2" t="s">
        <v>1263</v>
      </c>
      <c r="B945" s="1" t="s">
        <v>1251</v>
      </c>
      <c r="C945" s="1" t="s">
        <v>1255</v>
      </c>
      <c r="D945" s="1" t="s">
        <v>324</v>
      </c>
      <c r="E945" s="3">
        <v>47087</v>
      </c>
      <c r="F945" s="2"/>
    </row>
    <row r="946" spans="1:6" ht="24.95" customHeight="1" x14ac:dyDescent="0.4">
      <c r="A946" s="2" t="s">
        <v>1265</v>
      </c>
      <c r="B946" s="1" t="s">
        <v>1251</v>
      </c>
      <c r="C946" s="1" t="s">
        <v>1255</v>
      </c>
      <c r="D946" s="1" t="s">
        <v>531</v>
      </c>
      <c r="E946" s="3">
        <v>47087</v>
      </c>
      <c r="F946" s="2"/>
    </row>
    <row r="947" spans="1:6" ht="24.95" customHeight="1" x14ac:dyDescent="0.4">
      <c r="A947" s="2" t="s">
        <v>1107</v>
      </c>
      <c r="B947" s="1" t="s">
        <v>1251</v>
      </c>
      <c r="C947" s="1" t="s">
        <v>1255</v>
      </c>
      <c r="D947" s="1" t="s">
        <v>324</v>
      </c>
      <c r="E947" s="3">
        <v>47087</v>
      </c>
      <c r="F947" s="2"/>
    </row>
    <row r="948" spans="1:6" ht="24.95" customHeight="1" x14ac:dyDescent="0.4">
      <c r="A948" s="2" t="s">
        <v>1531</v>
      </c>
      <c r="B948" s="1" t="s">
        <v>1251</v>
      </c>
      <c r="C948" s="1" t="s">
        <v>1255</v>
      </c>
      <c r="D948" s="1" t="s">
        <v>324</v>
      </c>
      <c r="E948" s="3">
        <v>47087</v>
      </c>
      <c r="F948" s="2"/>
    </row>
    <row r="949" spans="1:6" ht="24.95" customHeight="1" x14ac:dyDescent="0.4">
      <c r="A949" s="2" t="s">
        <v>1105</v>
      </c>
      <c r="B949" s="1" t="s">
        <v>1251</v>
      </c>
      <c r="C949" s="1" t="s">
        <v>1255</v>
      </c>
      <c r="D949" s="1" t="s">
        <v>30</v>
      </c>
      <c r="E949" s="3">
        <v>47087</v>
      </c>
      <c r="F949" s="2"/>
    </row>
    <row r="950" spans="1:6" ht="24.95" customHeight="1" x14ac:dyDescent="0.4">
      <c r="A950" s="2" t="s">
        <v>2400</v>
      </c>
      <c r="B950" s="1" t="s">
        <v>1251</v>
      </c>
      <c r="C950" s="1" t="s">
        <v>1255</v>
      </c>
      <c r="D950" s="1" t="s">
        <v>531</v>
      </c>
      <c r="E950" s="3">
        <v>45991</v>
      </c>
      <c r="F950" s="2"/>
    </row>
    <row r="951" spans="1:6" ht="24.95" customHeight="1" x14ac:dyDescent="0.4">
      <c r="A951" s="2" t="s">
        <v>2109</v>
      </c>
      <c r="B951" s="1" t="s">
        <v>1251</v>
      </c>
      <c r="C951" s="1" t="s">
        <v>1255</v>
      </c>
      <c r="D951" s="1" t="s">
        <v>179</v>
      </c>
      <c r="E951" s="3">
        <v>46356</v>
      </c>
      <c r="F951" s="2"/>
    </row>
    <row r="952" spans="1:6" ht="24.95" customHeight="1" x14ac:dyDescent="0.4">
      <c r="A952" s="2" t="s">
        <v>309</v>
      </c>
      <c r="B952" s="1" t="s">
        <v>1251</v>
      </c>
      <c r="C952" s="1" t="s">
        <v>1255</v>
      </c>
      <c r="D952" s="1" t="s">
        <v>104</v>
      </c>
      <c r="E952" s="3">
        <v>46721</v>
      </c>
      <c r="F952" s="2"/>
    </row>
    <row r="953" spans="1:6" ht="24.95" customHeight="1" x14ac:dyDescent="0.4">
      <c r="A953" s="2" t="s">
        <v>2528</v>
      </c>
      <c r="B953" s="1" t="s">
        <v>1251</v>
      </c>
      <c r="C953" s="1" t="s">
        <v>1255</v>
      </c>
      <c r="D953" s="1" t="s">
        <v>279</v>
      </c>
      <c r="E953" s="3">
        <v>47087</v>
      </c>
      <c r="F953" s="2"/>
    </row>
    <row r="954" spans="1:6" ht="24.95" customHeight="1" x14ac:dyDescent="0.4">
      <c r="A954" s="2" t="s">
        <v>2614</v>
      </c>
      <c r="B954" s="1" t="s">
        <v>2615</v>
      </c>
      <c r="C954" s="1" t="str">
        <f>"福山市津之郷町津之郷484-5"</f>
        <v>福山市津之郷町津之郷484-5</v>
      </c>
      <c r="D954" s="1" t="s">
        <v>41</v>
      </c>
      <c r="E954" s="3">
        <v>47087</v>
      </c>
      <c r="F954" s="2"/>
    </row>
    <row r="955" spans="1:6" ht="24.95" customHeight="1" x14ac:dyDescent="0.4">
      <c r="A955" s="2" t="s">
        <v>2191</v>
      </c>
      <c r="B955" s="1" t="s">
        <v>347</v>
      </c>
      <c r="C955" s="1" t="str">
        <f>"福山市東桜町1-1-2F"</f>
        <v>福山市東桜町1-1-2F</v>
      </c>
      <c r="D955" s="1" t="s">
        <v>30</v>
      </c>
      <c r="E955" s="3">
        <v>45991</v>
      </c>
      <c r="F955" s="2"/>
    </row>
    <row r="956" spans="1:6" ht="24.95" customHeight="1" x14ac:dyDescent="0.4">
      <c r="A956" s="2" t="s">
        <v>241</v>
      </c>
      <c r="B956" s="1" t="s">
        <v>750</v>
      </c>
      <c r="C956" s="1" t="str">
        <f>"福山市東手城町1-3-11"</f>
        <v>福山市東手城町1-3-11</v>
      </c>
      <c r="D956" s="1" t="s">
        <v>139</v>
      </c>
      <c r="E956" s="3">
        <v>47087</v>
      </c>
      <c r="F956" s="2"/>
    </row>
    <row r="957" spans="1:6" ht="24.95" customHeight="1" x14ac:dyDescent="0.4">
      <c r="A957" s="2" t="s">
        <v>1439</v>
      </c>
      <c r="B957" s="1" t="s">
        <v>1260</v>
      </c>
      <c r="C957" s="1" t="str">
        <f>"福山市東手城町1-3-11"</f>
        <v>福山市東手城町1-3-11</v>
      </c>
      <c r="D957" s="1" t="s">
        <v>30</v>
      </c>
      <c r="E957" s="3">
        <v>47087</v>
      </c>
      <c r="F957" s="2"/>
    </row>
    <row r="958" spans="1:6" ht="24.95" customHeight="1" x14ac:dyDescent="0.4">
      <c r="A958" s="2" t="s">
        <v>2033</v>
      </c>
      <c r="B958" s="1" t="s">
        <v>2034</v>
      </c>
      <c r="C958" s="1" t="str">
        <f>"福山市東手城町1-3-11"</f>
        <v>福山市東手城町1-3-11</v>
      </c>
      <c r="D958" s="1" t="s">
        <v>503</v>
      </c>
      <c r="E958" s="3">
        <v>47087</v>
      </c>
      <c r="F958" s="2"/>
    </row>
    <row r="959" spans="1:6" ht="24.95" customHeight="1" x14ac:dyDescent="0.4">
      <c r="A959" s="2" t="s">
        <v>189</v>
      </c>
      <c r="B959" s="1" t="s">
        <v>473</v>
      </c>
      <c r="C959" s="1" t="str">
        <f>"福山市東手城町3-11-16"</f>
        <v>福山市東手城町3-11-16</v>
      </c>
      <c r="D959" s="1" t="s">
        <v>530</v>
      </c>
      <c r="E959" s="3">
        <v>47087</v>
      </c>
      <c r="F959" s="2"/>
    </row>
    <row r="960" spans="1:6" ht="24.95" customHeight="1" x14ac:dyDescent="0.4">
      <c r="A960" s="2" t="s">
        <v>679</v>
      </c>
      <c r="B960" s="1" t="s">
        <v>354</v>
      </c>
      <c r="C960" s="1" t="str">
        <f>"福山市東深津町1-11-10"</f>
        <v>福山市東深津町1-11-10</v>
      </c>
      <c r="D960" s="1" t="s">
        <v>759</v>
      </c>
      <c r="E960" s="3">
        <v>47087</v>
      </c>
      <c r="F960" s="2"/>
    </row>
    <row r="961" spans="1:6" ht="24.95" customHeight="1" x14ac:dyDescent="0.4">
      <c r="A961" s="2" t="s">
        <v>911</v>
      </c>
      <c r="B961" s="1" t="s">
        <v>912</v>
      </c>
      <c r="C961" s="1" t="str">
        <f>"福山市東深津町2-11-26"</f>
        <v>福山市東深津町2-11-26</v>
      </c>
      <c r="D961" s="1" t="s">
        <v>139</v>
      </c>
      <c r="E961" s="3">
        <v>47087</v>
      </c>
      <c r="F961" s="2"/>
    </row>
    <row r="962" spans="1:6" ht="24.95" customHeight="1" x14ac:dyDescent="0.4">
      <c r="A962" s="2" t="s">
        <v>981</v>
      </c>
      <c r="B962" s="1" t="s">
        <v>1098</v>
      </c>
      <c r="C962" s="1" t="str">
        <f>"福山市東深津町2-8-30"</f>
        <v>福山市東深津町2-8-30</v>
      </c>
      <c r="D962" s="1" t="s">
        <v>364</v>
      </c>
      <c r="E962" s="3">
        <v>47087</v>
      </c>
      <c r="F962" s="2"/>
    </row>
    <row r="963" spans="1:6" ht="24.95" customHeight="1" x14ac:dyDescent="0.4">
      <c r="A963" s="2" t="s">
        <v>2189</v>
      </c>
      <c r="B963" s="1" t="s">
        <v>1098</v>
      </c>
      <c r="C963" s="1" t="str">
        <f>"福山市東深津町2-8-30"</f>
        <v>福山市東深津町2-8-30</v>
      </c>
      <c r="D963" s="1" t="s">
        <v>538</v>
      </c>
      <c r="E963" s="3">
        <v>45991</v>
      </c>
      <c r="F963" s="2"/>
    </row>
    <row r="964" spans="1:6" ht="24.95" customHeight="1" x14ac:dyDescent="0.4">
      <c r="A964" s="2" t="s">
        <v>1641</v>
      </c>
      <c r="B964" s="1" t="s">
        <v>1642</v>
      </c>
      <c r="C964" s="1" t="str">
        <f t="shared" ref="C964:C969" si="23">"福山市東深津町3-23-46"</f>
        <v>福山市東深津町3-23-46</v>
      </c>
      <c r="D964" s="1" t="s">
        <v>1643</v>
      </c>
      <c r="E964" s="3">
        <v>47087</v>
      </c>
      <c r="F964" s="2"/>
    </row>
    <row r="965" spans="1:6" ht="24.95" customHeight="1" x14ac:dyDescent="0.4">
      <c r="A965" s="2" t="s">
        <v>1722</v>
      </c>
      <c r="B965" s="1" t="s">
        <v>1642</v>
      </c>
      <c r="C965" s="1" t="str">
        <f t="shared" si="23"/>
        <v>福山市東深津町3-23-46</v>
      </c>
      <c r="D965" s="1" t="s">
        <v>955</v>
      </c>
      <c r="E965" s="3">
        <v>47087</v>
      </c>
      <c r="F965" s="2"/>
    </row>
    <row r="966" spans="1:6" ht="24.95" customHeight="1" x14ac:dyDescent="0.4">
      <c r="A966" s="2" t="s">
        <v>1942</v>
      </c>
      <c r="B966" s="1" t="s">
        <v>1642</v>
      </c>
      <c r="C966" s="1" t="str">
        <f t="shared" si="23"/>
        <v>福山市東深津町3-23-46</v>
      </c>
      <c r="D966" s="1" t="s">
        <v>1943</v>
      </c>
      <c r="E966" s="3">
        <v>47087</v>
      </c>
      <c r="F966" s="2"/>
    </row>
    <row r="967" spans="1:6" ht="24.95" customHeight="1" x14ac:dyDescent="0.4">
      <c r="A967" s="2" t="s">
        <v>1976</v>
      </c>
      <c r="B967" s="1" t="s">
        <v>1642</v>
      </c>
      <c r="C967" s="1" t="str">
        <f t="shared" si="23"/>
        <v>福山市東深津町3-23-46</v>
      </c>
      <c r="D967" s="1" t="s">
        <v>1643</v>
      </c>
      <c r="E967" s="3">
        <v>47087</v>
      </c>
      <c r="F967" s="2"/>
    </row>
    <row r="968" spans="1:6" ht="24.95" customHeight="1" x14ac:dyDescent="0.4">
      <c r="A968" s="2" t="s">
        <v>2282</v>
      </c>
      <c r="B968" s="1" t="s">
        <v>1642</v>
      </c>
      <c r="C968" s="1" t="str">
        <f t="shared" si="23"/>
        <v>福山市東深津町3-23-46</v>
      </c>
      <c r="D968" s="1" t="s">
        <v>67</v>
      </c>
      <c r="E968" s="3">
        <v>47087</v>
      </c>
      <c r="F968" s="2"/>
    </row>
    <row r="969" spans="1:6" ht="24.95" customHeight="1" x14ac:dyDescent="0.4">
      <c r="A969" s="2" t="s">
        <v>1618</v>
      </c>
      <c r="B969" s="1" t="s">
        <v>1642</v>
      </c>
      <c r="C969" s="1" t="str">
        <f t="shared" si="23"/>
        <v>福山市東深津町3-23-46</v>
      </c>
      <c r="D969" s="1" t="s">
        <v>955</v>
      </c>
      <c r="E969" s="3">
        <v>46721</v>
      </c>
      <c r="F969" s="2"/>
    </row>
    <row r="970" spans="1:6" ht="24.95" customHeight="1" x14ac:dyDescent="0.4">
      <c r="A970" s="2" t="s">
        <v>2345</v>
      </c>
      <c r="B970" s="1" t="s">
        <v>774</v>
      </c>
      <c r="C970" s="1" t="str">
        <f>"福山市東町1-1-18"</f>
        <v>福山市東町1-1-18</v>
      </c>
      <c r="D970" s="1" t="s">
        <v>576</v>
      </c>
      <c r="E970" s="3">
        <v>47087</v>
      </c>
      <c r="F970" s="2"/>
    </row>
    <row r="971" spans="1:6" ht="24.95" customHeight="1" x14ac:dyDescent="0.4">
      <c r="A971" s="2" t="s">
        <v>726</v>
      </c>
      <c r="B971" s="1" t="s">
        <v>774</v>
      </c>
      <c r="C971" s="1" t="str">
        <f>"福山市東町1-1-18"</f>
        <v>福山市東町1-1-18</v>
      </c>
      <c r="D971" s="1" t="s">
        <v>324</v>
      </c>
      <c r="E971" s="3">
        <v>47087</v>
      </c>
      <c r="F971" s="2"/>
    </row>
    <row r="972" spans="1:6" ht="24.95" customHeight="1" x14ac:dyDescent="0.4">
      <c r="A972" s="2" t="s">
        <v>933</v>
      </c>
      <c r="B972" s="1" t="s">
        <v>2727</v>
      </c>
      <c r="C972" s="1" t="str">
        <f>"福山市東町3-3-3"</f>
        <v>福山市東町3-3-3</v>
      </c>
      <c r="D972" s="1" t="s">
        <v>30</v>
      </c>
      <c r="E972" s="3">
        <v>46356</v>
      </c>
      <c r="F972" s="2"/>
    </row>
    <row r="973" spans="1:6" ht="24.95" customHeight="1" x14ac:dyDescent="0.4">
      <c r="A973" s="2" t="s">
        <v>731</v>
      </c>
      <c r="B973" s="1" t="s">
        <v>733</v>
      </c>
      <c r="C973" s="1" t="str">
        <f>"福山市藤江町1724-1"</f>
        <v>福山市藤江町1724-1</v>
      </c>
      <c r="D973" s="1" t="s">
        <v>735</v>
      </c>
      <c r="E973" s="3">
        <v>47087</v>
      </c>
      <c r="F973" s="2"/>
    </row>
    <row r="974" spans="1:6" ht="24.95" customHeight="1" x14ac:dyDescent="0.4">
      <c r="A974" s="2" t="s">
        <v>1436</v>
      </c>
      <c r="B974" s="1" t="s">
        <v>733</v>
      </c>
      <c r="C974" s="1" t="str">
        <f>"福山市藤江町1724-1"</f>
        <v>福山市藤江町1724-1</v>
      </c>
      <c r="D974" s="1" t="s">
        <v>30</v>
      </c>
      <c r="E974" s="3">
        <v>46356</v>
      </c>
      <c r="F974" s="2"/>
    </row>
    <row r="975" spans="1:6" ht="24.95" customHeight="1" x14ac:dyDescent="0.4">
      <c r="A975" s="2" t="s">
        <v>239</v>
      </c>
      <c r="B975" s="1" t="s">
        <v>805</v>
      </c>
      <c r="C975" s="1" t="str">
        <f>"福山市道三町1-1"</f>
        <v>福山市道三町1-1</v>
      </c>
      <c r="D975" s="5" t="s">
        <v>664</v>
      </c>
      <c r="E975" s="3">
        <v>47087</v>
      </c>
      <c r="F975" s="2"/>
    </row>
    <row r="976" spans="1:6" ht="24.95" customHeight="1" x14ac:dyDescent="0.4">
      <c r="A976" s="2" t="s">
        <v>1205</v>
      </c>
      <c r="B976" s="1" t="s">
        <v>596</v>
      </c>
      <c r="C976" s="1" t="str">
        <f>"福山市道三町5-15"</f>
        <v>福山市道三町5-15</v>
      </c>
      <c r="D976" s="1" t="s">
        <v>30</v>
      </c>
      <c r="E976" s="3">
        <v>47087</v>
      </c>
      <c r="F976" s="2"/>
    </row>
    <row r="977" spans="1:6" ht="24.95" customHeight="1" x14ac:dyDescent="0.4">
      <c r="A977" s="2" t="s">
        <v>1030</v>
      </c>
      <c r="B977" s="1" t="s">
        <v>2221</v>
      </c>
      <c r="C977" s="1" t="str">
        <f>"福山市奈良津町3-1-1"</f>
        <v>福山市奈良津町3-1-1</v>
      </c>
      <c r="D977" s="1" t="s">
        <v>2222</v>
      </c>
      <c r="E977" s="3">
        <v>45991</v>
      </c>
      <c r="F977" s="2"/>
    </row>
    <row r="978" spans="1:6" ht="24.95" customHeight="1" x14ac:dyDescent="0.4">
      <c r="A978" s="2" t="s">
        <v>2026</v>
      </c>
      <c r="B978" s="1" t="s">
        <v>196</v>
      </c>
      <c r="C978" s="1" t="str">
        <f>"福山市奈良津町3-1-5"</f>
        <v>福山市奈良津町3-1-5</v>
      </c>
      <c r="D978" s="1" t="s">
        <v>324</v>
      </c>
      <c r="E978" s="3">
        <v>47087</v>
      </c>
      <c r="F978" s="2"/>
    </row>
    <row r="979" spans="1:6" ht="24.95" customHeight="1" x14ac:dyDescent="0.4">
      <c r="A979" s="2" t="s">
        <v>2718</v>
      </c>
      <c r="B979" s="1" t="s">
        <v>2113</v>
      </c>
      <c r="C979" s="1" t="str">
        <f>"福山市内海町ロ355-1"</f>
        <v>福山市内海町ロ355-1</v>
      </c>
      <c r="D979" s="1" t="s">
        <v>2719</v>
      </c>
      <c r="E979" s="3">
        <v>45991</v>
      </c>
      <c r="F979" s="2"/>
    </row>
    <row r="980" spans="1:6" ht="24.95" customHeight="1" x14ac:dyDescent="0.4">
      <c r="A980" s="2" t="s">
        <v>236</v>
      </c>
      <c r="B980" s="1" t="s">
        <v>1096</v>
      </c>
      <c r="C980" s="1" t="str">
        <f>"福山市南手城町1-15-3"</f>
        <v>福山市南手城町1-15-3</v>
      </c>
      <c r="D980" s="1" t="s">
        <v>1014</v>
      </c>
      <c r="E980" s="3">
        <v>47087</v>
      </c>
      <c r="F980" s="2"/>
    </row>
    <row r="981" spans="1:6" ht="24.95" customHeight="1" x14ac:dyDescent="0.4">
      <c r="A981" s="2" t="s">
        <v>275</v>
      </c>
      <c r="B981" s="1" t="s">
        <v>235</v>
      </c>
      <c r="C981" s="1" t="str">
        <f>"福山市南手城町1-9-25"</f>
        <v>福山市南手城町1-9-25</v>
      </c>
      <c r="D981" s="1" t="s">
        <v>103</v>
      </c>
      <c r="E981" s="3">
        <v>47087</v>
      </c>
      <c r="F981" s="2"/>
    </row>
    <row r="982" spans="1:6" ht="24.95" customHeight="1" x14ac:dyDescent="0.4">
      <c r="A982" s="2" t="s">
        <v>1677</v>
      </c>
      <c r="B982" s="1" t="s">
        <v>1955</v>
      </c>
      <c r="C982" s="1" t="str">
        <f>"福山市南蔵王町1-10-11"</f>
        <v>福山市南蔵王町1-10-11</v>
      </c>
      <c r="D982" s="1" t="s">
        <v>139</v>
      </c>
      <c r="E982" s="3">
        <v>47087</v>
      </c>
      <c r="F982" s="2"/>
    </row>
    <row r="983" spans="1:6" ht="24.95" customHeight="1" x14ac:dyDescent="0.4">
      <c r="A983" s="2" t="s">
        <v>2212</v>
      </c>
      <c r="B983" s="1" t="s">
        <v>1900</v>
      </c>
      <c r="C983" s="1" t="str">
        <f>"福山市南蔵王町3-17-45"</f>
        <v>福山市南蔵王町3-17-45</v>
      </c>
      <c r="D983" s="1" t="s">
        <v>220</v>
      </c>
      <c r="E983" s="3">
        <v>45991</v>
      </c>
      <c r="F983" s="2"/>
    </row>
    <row r="984" spans="1:6" ht="24.95" customHeight="1" x14ac:dyDescent="0.4">
      <c r="A984" s="2" t="s">
        <v>1732</v>
      </c>
      <c r="B984" s="1" t="s">
        <v>2753</v>
      </c>
      <c r="C984" s="1" t="str">
        <f>"福山市南蔵王町4-12-24"</f>
        <v>福山市南蔵王町4-12-24</v>
      </c>
      <c r="D984" s="1" t="s">
        <v>279</v>
      </c>
      <c r="E984" s="3">
        <v>45991</v>
      </c>
      <c r="F984" s="2"/>
    </row>
    <row r="985" spans="1:6" ht="24.95" customHeight="1" x14ac:dyDescent="0.4">
      <c r="A985" s="2" t="s">
        <v>753</v>
      </c>
      <c r="B985" s="1" t="s">
        <v>1659</v>
      </c>
      <c r="C985" s="1" t="str">
        <f>"福山市南蔵王町4-16-16"</f>
        <v>福山市南蔵王町4-16-16</v>
      </c>
      <c r="D985" s="1" t="s">
        <v>324</v>
      </c>
      <c r="E985" s="3">
        <v>47087</v>
      </c>
      <c r="F985" s="2"/>
    </row>
    <row r="986" spans="1:6" ht="24.95" customHeight="1" x14ac:dyDescent="0.4">
      <c r="A986" s="2" t="s">
        <v>2395</v>
      </c>
      <c r="B986" s="1" t="s">
        <v>1659</v>
      </c>
      <c r="C986" s="1" t="str">
        <f>"福山市南蔵王町4-16-16"</f>
        <v>福山市南蔵王町4-16-16</v>
      </c>
      <c r="D986" s="1" t="s">
        <v>324</v>
      </c>
      <c r="E986" s="3">
        <v>45991</v>
      </c>
      <c r="F986" s="2"/>
    </row>
    <row r="987" spans="1:6" ht="24.95" customHeight="1" x14ac:dyDescent="0.4">
      <c r="A987" s="2" t="s">
        <v>1116</v>
      </c>
      <c r="B987" s="1" t="s">
        <v>1117</v>
      </c>
      <c r="C987" s="1" t="str">
        <f t="shared" ref="C987:C992" si="24">"福山市南蔵王町5-14-5"</f>
        <v>福山市南蔵王町5-14-5</v>
      </c>
      <c r="D987" s="1" t="s">
        <v>324</v>
      </c>
      <c r="E987" s="3">
        <v>47087</v>
      </c>
      <c r="F987" s="2"/>
    </row>
    <row r="988" spans="1:6" ht="24.95" customHeight="1" x14ac:dyDescent="0.4">
      <c r="A988" s="2" t="s">
        <v>1220</v>
      </c>
      <c r="B988" s="1" t="s">
        <v>1117</v>
      </c>
      <c r="C988" s="1" t="str">
        <f t="shared" si="24"/>
        <v>福山市南蔵王町5-14-5</v>
      </c>
      <c r="D988" s="1" t="s">
        <v>133</v>
      </c>
      <c r="E988" s="3">
        <v>47087</v>
      </c>
      <c r="F988" s="2"/>
    </row>
    <row r="989" spans="1:6" ht="24.95" customHeight="1" x14ac:dyDescent="0.4">
      <c r="A989" s="2" t="s">
        <v>1879</v>
      </c>
      <c r="B989" s="1" t="s">
        <v>1117</v>
      </c>
      <c r="C989" s="1" t="str">
        <f t="shared" si="24"/>
        <v>福山市南蔵王町5-14-5</v>
      </c>
      <c r="D989" s="1" t="s">
        <v>1909</v>
      </c>
      <c r="E989" s="3">
        <v>47087</v>
      </c>
      <c r="F989" s="2"/>
    </row>
    <row r="990" spans="1:6" ht="24.95" customHeight="1" x14ac:dyDescent="0.4">
      <c r="A990" s="2" t="s">
        <v>288</v>
      </c>
      <c r="B990" s="1" t="s">
        <v>1117</v>
      </c>
      <c r="C990" s="1" t="str">
        <f t="shared" si="24"/>
        <v>福山市南蔵王町5-14-5</v>
      </c>
      <c r="D990" s="1" t="s">
        <v>30</v>
      </c>
      <c r="E990" s="3">
        <v>47087</v>
      </c>
      <c r="F990" s="2"/>
    </row>
    <row r="991" spans="1:6" ht="24.95" customHeight="1" x14ac:dyDescent="0.4">
      <c r="A991" s="2" t="s">
        <v>430</v>
      </c>
      <c r="B991" s="1" t="s">
        <v>1117</v>
      </c>
      <c r="C991" s="1" t="str">
        <f t="shared" si="24"/>
        <v>福山市南蔵王町5-14-5</v>
      </c>
      <c r="D991" s="1" t="s">
        <v>324</v>
      </c>
      <c r="E991" s="3">
        <v>47087</v>
      </c>
      <c r="F991" s="2"/>
    </row>
    <row r="992" spans="1:6" ht="24.95" customHeight="1" x14ac:dyDescent="0.4">
      <c r="A992" s="2" t="s">
        <v>2581</v>
      </c>
      <c r="B992" s="1" t="s">
        <v>1117</v>
      </c>
      <c r="C992" s="1" t="str">
        <f t="shared" si="24"/>
        <v>福山市南蔵王町5-14-5</v>
      </c>
      <c r="D992" s="1" t="s">
        <v>30</v>
      </c>
      <c r="E992" s="3">
        <v>47087</v>
      </c>
      <c r="F992" s="2"/>
    </row>
    <row r="993" spans="1:6" ht="24.95" customHeight="1" x14ac:dyDescent="0.4">
      <c r="A993" s="2" t="s">
        <v>1713</v>
      </c>
      <c r="B993" s="1" t="s">
        <v>644</v>
      </c>
      <c r="C993" s="1" t="str">
        <f>"福山市南蔵王町5-6-9"</f>
        <v>福山市南蔵王町5-6-9</v>
      </c>
      <c r="D993" s="1" t="s">
        <v>30</v>
      </c>
      <c r="E993" s="3">
        <v>47087</v>
      </c>
      <c r="F993" s="2"/>
    </row>
    <row r="994" spans="1:6" ht="24.95" customHeight="1" x14ac:dyDescent="0.4">
      <c r="A994" s="2" t="s">
        <v>908</v>
      </c>
      <c r="B994" s="1" t="s">
        <v>1539</v>
      </c>
      <c r="C994" s="1" t="str">
        <f>"福山市南蔵王町6-20-13"</f>
        <v>福山市南蔵王町6-20-13</v>
      </c>
      <c r="D994" s="1" t="s">
        <v>139</v>
      </c>
      <c r="E994" s="3">
        <v>45991</v>
      </c>
      <c r="F994" s="2"/>
    </row>
    <row r="995" spans="1:6" ht="24.95" customHeight="1" x14ac:dyDescent="0.4">
      <c r="A995" s="2" t="s">
        <v>227</v>
      </c>
      <c r="B995" s="1" t="s">
        <v>61</v>
      </c>
      <c r="C995" s="1" t="str">
        <f>"福山市南蔵王町6-27-26-102"</f>
        <v>福山市南蔵王町6-27-26-102</v>
      </c>
      <c r="D995" s="1" t="s">
        <v>30</v>
      </c>
      <c r="E995" s="3">
        <v>47087</v>
      </c>
      <c r="F995" s="2"/>
    </row>
    <row r="996" spans="1:6" ht="24.95" customHeight="1" x14ac:dyDescent="0.4">
      <c r="A996" s="2" t="s">
        <v>1343</v>
      </c>
      <c r="B996" s="1" t="s">
        <v>61</v>
      </c>
      <c r="C996" s="1" t="str">
        <f>"福山市南蔵王町6-27-26-102"</f>
        <v>福山市南蔵王町6-27-26-102</v>
      </c>
      <c r="D996" s="1" t="s">
        <v>30</v>
      </c>
      <c r="E996" s="3">
        <v>45626</v>
      </c>
      <c r="F996" s="2"/>
    </row>
    <row r="997" spans="1:6" ht="24.95" customHeight="1" x14ac:dyDescent="0.4">
      <c r="A997" s="2" t="s">
        <v>1799</v>
      </c>
      <c r="B997" s="1" t="s">
        <v>1800</v>
      </c>
      <c r="C997" s="1" t="str">
        <f>"福山市南蔵王町6-2-8"</f>
        <v>福山市南蔵王町6-2-8</v>
      </c>
      <c r="D997" s="1" t="s">
        <v>693</v>
      </c>
      <c r="E997" s="3">
        <v>47087</v>
      </c>
      <c r="F997" s="2"/>
    </row>
    <row r="998" spans="1:6" ht="24.95" customHeight="1" x14ac:dyDescent="0.4">
      <c r="A998" s="2" t="s">
        <v>1988</v>
      </c>
      <c r="B998" s="1" t="s">
        <v>776</v>
      </c>
      <c r="C998" s="1" t="str">
        <f>"福山市南蔵王町6-32-12"</f>
        <v>福山市南蔵王町6-32-12</v>
      </c>
      <c r="D998" s="1" t="s">
        <v>192</v>
      </c>
      <c r="E998" s="3">
        <v>47087</v>
      </c>
      <c r="F998" s="2"/>
    </row>
    <row r="999" spans="1:6" ht="24.95" customHeight="1" x14ac:dyDescent="0.4">
      <c r="A999" s="2" t="s">
        <v>121</v>
      </c>
      <c r="B999" s="1" t="s">
        <v>124</v>
      </c>
      <c r="C999" s="1" t="str">
        <f>"福山市南蔵王町6-4-13"</f>
        <v>福山市南蔵王町6-4-13</v>
      </c>
      <c r="D999" s="5" t="s">
        <v>125</v>
      </c>
      <c r="E999" s="3">
        <v>47087</v>
      </c>
      <c r="F999" s="2"/>
    </row>
    <row r="1000" spans="1:6" ht="24.95" customHeight="1" x14ac:dyDescent="0.4">
      <c r="A1000" s="2" t="s">
        <v>1326</v>
      </c>
      <c r="B1000" s="1" t="s">
        <v>710</v>
      </c>
      <c r="C1000" s="1" t="str">
        <f>"福山市南本庄3-1-52"</f>
        <v>福山市南本庄3-1-52</v>
      </c>
      <c r="D1000" s="1" t="s">
        <v>324</v>
      </c>
      <c r="E1000" s="3">
        <v>47087</v>
      </c>
      <c r="F1000" s="2"/>
    </row>
    <row r="1001" spans="1:6" ht="24.95" customHeight="1" x14ac:dyDescent="0.4">
      <c r="A1001" s="2" t="s">
        <v>2522</v>
      </c>
      <c r="B1001" s="1" t="s">
        <v>710</v>
      </c>
      <c r="C1001" s="1" t="str">
        <f>"福山市南本庄3-1-52"</f>
        <v>福山市南本庄3-1-52</v>
      </c>
      <c r="D1001" s="1" t="s">
        <v>30</v>
      </c>
      <c r="E1001" s="3">
        <v>47087</v>
      </c>
      <c r="F1001" s="2"/>
    </row>
    <row r="1002" spans="1:6" ht="24.95" customHeight="1" x14ac:dyDescent="0.4">
      <c r="A1002" s="2" t="s">
        <v>1475</v>
      </c>
      <c r="B1002" s="1" t="s">
        <v>1038</v>
      </c>
      <c r="C1002" s="1" t="str">
        <f>"福山市北吉津町3-11-16"</f>
        <v>福山市北吉津町3-11-16</v>
      </c>
      <c r="D1002" s="1" t="s">
        <v>581</v>
      </c>
      <c r="E1002" s="3">
        <v>47087</v>
      </c>
      <c r="F1002" s="2"/>
    </row>
    <row r="1003" spans="1:6" ht="24.95" customHeight="1" x14ac:dyDescent="0.4">
      <c r="A1003" s="2" t="s">
        <v>1207</v>
      </c>
      <c r="B1003" s="1" t="s">
        <v>2013</v>
      </c>
      <c r="C1003" s="1" t="str">
        <f>"福山市本郷町1605-2"</f>
        <v>福山市本郷町1605-2</v>
      </c>
      <c r="D1003" s="1" t="s">
        <v>30</v>
      </c>
      <c r="E1003" s="3">
        <v>47087</v>
      </c>
      <c r="F1003" s="2"/>
    </row>
    <row r="1004" spans="1:6" ht="24.95" customHeight="1" x14ac:dyDescent="0.4">
      <c r="A1004" s="2" t="s">
        <v>2626</v>
      </c>
      <c r="B1004" s="1" t="s">
        <v>2316</v>
      </c>
      <c r="C1004" s="1" t="str">
        <f>"福山市本庄町中1-2-13"</f>
        <v>福山市本庄町中1-2-13</v>
      </c>
      <c r="D1004" s="1" t="s">
        <v>2627</v>
      </c>
      <c r="E1004" s="3">
        <v>47087</v>
      </c>
      <c r="F1004" s="2"/>
    </row>
    <row r="1005" spans="1:6" ht="24.95" customHeight="1" x14ac:dyDescent="0.4">
      <c r="A1005" s="2" t="s">
        <v>1588</v>
      </c>
      <c r="B1005" s="1" t="s">
        <v>2603</v>
      </c>
      <c r="C1005" s="1" t="str">
        <f>"福山市本町1-1-103"</f>
        <v>福山市本町1-1-103</v>
      </c>
      <c r="D1005" s="1" t="s">
        <v>531</v>
      </c>
      <c r="E1005" s="3">
        <v>47087</v>
      </c>
      <c r="F1005" s="2"/>
    </row>
    <row r="1006" spans="1:6" ht="24.95" customHeight="1" x14ac:dyDescent="0.4">
      <c r="A1006" s="2" t="s">
        <v>498</v>
      </c>
      <c r="B1006" s="1" t="s">
        <v>1857</v>
      </c>
      <c r="C1006" s="1" t="str">
        <f>"福山市本町5-20"</f>
        <v>福山市本町5-20</v>
      </c>
      <c r="D1006" s="1" t="s">
        <v>364</v>
      </c>
      <c r="E1006" s="3">
        <v>47087</v>
      </c>
      <c r="F1006" s="2"/>
    </row>
    <row r="1007" spans="1:6" ht="24.95" customHeight="1" x14ac:dyDescent="0.4">
      <c r="A1007" s="2" t="s">
        <v>138</v>
      </c>
      <c r="B1007" s="1" t="s">
        <v>219</v>
      </c>
      <c r="C1007" s="1" t="str">
        <f>"福山市幕山台1-20-20"</f>
        <v>福山市幕山台1-20-20</v>
      </c>
      <c r="D1007" s="1" t="s">
        <v>242</v>
      </c>
      <c r="E1007" s="3">
        <v>47087</v>
      </c>
      <c r="F1007" s="2"/>
    </row>
    <row r="1008" spans="1:6" ht="24.95" customHeight="1" x14ac:dyDescent="0.4">
      <c r="A1008" s="2" t="s">
        <v>1148</v>
      </c>
      <c r="B1008" s="1" t="s">
        <v>2475</v>
      </c>
      <c r="C1008" s="1" t="str">
        <f>"福山市明神町2-14-3"</f>
        <v>福山市明神町2-14-3</v>
      </c>
      <c r="D1008" s="1" t="s">
        <v>186</v>
      </c>
      <c r="E1008" s="3">
        <v>46721</v>
      </c>
      <c r="F1008" s="2"/>
    </row>
    <row r="1009" spans="1:6" ht="24.95" customHeight="1" x14ac:dyDescent="0.4">
      <c r="A1009" s="2" t="s">
        <v>1765</v>
      </c>
      <c r="B1009" s="1" t="s">
        <v>2216</v>
      </c>
      <c r="C1009" s="1" t="str">
        <f>"福山市明神町2-15-41"</f>
        <v>福山市明神町2-15-41</v>
      </c>
      <c r="D1009" s="1" t="s">
        <v>335</v>
      </c>
      <c r="E1009" s="3">
        <v>45991</v>
      </c>
      <c r="F1009" s="2"/>
    </row>
    <row r="1010" spans="1:6" ht="24.95" customHeight="1" x14ac:dyDescent="0.4">
      <c r="A1010" s="2" t="s">
        <v>2076</v>
      </c>
      <c r="B1010" s="1" t="s">
        <v>2216</v>
      </c>
      <c r="C1010" s="1" t="str">
        <f>"福山市明神町2-15-41"</f>
        <v>福山市明神町2-15-41</v>
      </c>
      <c r="D1010" s="1" t="s">
        <v>335</v>
      </c>
      <c r="E1010" s="3">
        <v>45991</v>
      </c>
      <c r="F1010" s="2"/>
    </row>
    <row r="1011" spans="1:6" ht="24.95" customHeight="1" x14ac:dyDescent="0.4">
      <c r="A1011" s="2" t="s">
        <v>1721</v>
      </c>
      <c r="B1011" s="1" t="s">
        <v>2216</v>
      </c>
      <c r="C1011" s="1" t="str">
        <f>"福山市明神町2-15-41"</f>
        <v>福山市明神町2-15-41</v>
      </c>
      <c r="D1011" s="1" t="s">
        <v>346</v>
      </c>
      <c r="E1011" s="3">
        <v>46356</v>
      </c>
      <c r="F1011" s="2"/>
    </row>
    <row r="1012" spans="1:6" ht="24.95" customHeight="1" x14ac:dyDescent="0.4">
      <c r="A1012" s="2" t="s">
        <v>2337</v>
      </c>
      <c r="B1012" s="1" t="s">
        <v>2216</v>
      </c>
      <c r="C1012" s="1" t="str">
        <f>"福山市明神町2-15-41"</f>
        <v>福山市明神町2-15-41</v>
      </c>
      <c r="D1012" s="1" t="s">
        <v>324</v>
      </c>
      <c r="E1012" s="3">
        <v>47087</v>
      </c>
      <c r="F1012" s="2"/>
    </row>
    <row r="1013" spans="1:6" ht="24.95" customHeight="1" x14ac:dyDescent="0.4">
      <c r="A1013" s="2" t="s">
        <v>1420</v>
      </c>
      <c r="B1013" s="1" t="s">
        <v>1422</v>
      </c>
      <c r="C1013" s="1" t="str">
        <f>"福山市明神町2-5-22"</f>
        <v>福山市明神町2-5-22</v>
      </c>
      <c r="D1013" s="1" t="s">
        <v>700</v>
      </c>
      <c r="E1013" s="3">
        <v>47087</v>
      </c>
      <c r="F1013" s="2"/>
    </row>
    <row r="1014" spans="1:6" ht="24.95" customHeight="1" x14ac:dyDescent="0.4">
      <c r="A1014" s="2" t="s">
        <v>2523</v>
      </c>
      <c r="B1014" s="1" t="s">
        <v>1866</v>
      </c>
      <c r="C1014" s="1" t="str">
        <f>"福山市木之庄町2-7-2"</f>
        <v>福山市木之庄町2-7-2</v>
      </c>
      <c r="D1014" s="1" t="s">
        <v>30</v>
      </c>
      <c r="E1014" s="3">
        <v>47087</v>
      </c>
      <c r="F1014" s="2"/>
    </row>
    <row r="1015" spans="1:6" ht="24.95" customHeight="1" x14ac:dyDescent="0.4">
      <c r="A1015" s="2" t="s">
        <v>1660</v>
      </c>
      <c r="B1015" s="1" t="s">
        <v>2704</v>
      </c>
      <c r="C1015" s="1" t="str">
        <f>"福山市木之庄町2-7-2"</f>
        <v>福山市木之庄町2-7-2</v>
      </c>
      <c r="D1015" s="1" t="s">
        <v>30</v>
      </c>
      <c r="E1015" s="3">
        <v>45991</v>
      </c>
      <c r="F1015" s="2"/>
    </row>
    <row r="1016" spans="1:6" ht="24.95" customHeight="1" x14ac:dyDescent="0.4">
      <c r="A1016" s="2" t="s">
        <v>1780</v>
      </c>
      <c r="B1016" s="1" t="s">
        <v>2704</v>
      </c>
      <c r="C1016" s="1" t="str">
        <f>"福山市木之庄町2-7-2"</f>
        <v>福山市木之庄町2-7-2</v>
      </c>
      <c r="D1016" s="1" t="s">
        <v>30</v>
      </c>
      <c r="E1016" s="3">
        <v>45991</v>
      </c>
      <c r="F1016" s="2"/>
    </row>
    <row r="1017" spans="1:6" ht="24.95" customHeight="1" x14ac:dyDescent="0.4">
      <c r="A1017" s="2" t="s">
        <v>2145</v>
      </c>
      <c r="B1017" s="1" t="s">
        <v>2704</v>
      </c>
      <c r="C1017" s="1" t="str">
        <f>"福山市木之庄町2-7-2"</f>
        <v>福山市木之庄町2-7-2</v>
      </c>
      <c r="D1017" s="1" t="s">
        <v>30</v>
      </c>
      <c r="E1017" s="3">
        <v>45991</v>
      </c>
      <c r="F1017" s="2"/>
    </row>
    <row r="1018" spans="1:6" ht="24.95" customHeight="1" x14ac:dyDescent="0.4">
      <c r="A1018" s="2" t="s">
        <v>2418</v>
      </c>
      <c r="B1018" s="1" t="s">
        <v>797</v>
      </c>
      <c r="C1018" s="1" t="str">
        <f>"福山市木之庄町2-7-5"</f>
        <v>福山市木之庄町2-7-5</v>
      </c>
      <c r="D1018" s="1" t="s">
        <v>2224</v>
      </c>
      <c r="E1018" s="3">
        <v>45991</v>
      </c>
      <c r="F1018" s="2"/>
    </row>
    <row r="1019" spans="1:6" ht="24.95" customHeight="1" x14ac:dyDescent="0.4">
      <c r="A1019" s="2" t="s">
        <v>2281</v>
      </c>
      <c r="B1019" s="1" t="s">
        <v>2283</v>
      </c>
      <c r="C1019" s="1" t="str">
        <f>"福山市野上町1-7-8"</f>
        <v>福山市野上町1-7-8</v>
      </c>
      <c r="D1019" s="1" t="s">
        <v>531</v>
      </c>
      <c r="E1019" s="3">
        <v>46721</v>
      </c>
      <c r="F1019" s="2"/>
    </row>
    <row r="1020" spans="1:6" ht="24.95" customHeight="1" x14ac:dyDescent="0.4">
      <c r="A1020" s="2" t="s">
        <v>2218</v>
      </c>
      <c r="B1020" s="1" t="s">
        <v>922</v>
      </c>
      <c r="C1020" s="1" t="str">
        <f>"福山市野上町2-10-24"</f>
        <v>福山市野上町2-10-24</v>
      </c>
      <c r="D1020" s="1" t="s">
        <v>139</v>
      </c>
      <c r="E1020" s="3">
        <v>45991</v>
      </c>
      <c r="F1020" s="2"/>
    </row>
    <row r="1021" spans="1:6" ht="24.95" customHeight="1" x14ac:dyDescent="0.4">
      <c r="A1021" s="2" t="s">
        <v>598</v>
      </c>
      <c r="B1021" s="1" t="s">
        <v>599</v>
      </c>
      <c r="C1021" s="1" t="str">
        <f>"福山市野上町2-10-29"</f>
        <v>福山市野上町2-10-29</v>
      </c>
      <c r="D1021" s="1" t="s">
        <v>30</v>
      </c>
      <c r="E1021" s="3">
        <v>47087</v>
      </c>
      <c r="F1021" s="2"/>
    </row>
    <row r="1022" spans="1:6" ht="24.95" customHeight="1" x14ac:dyDescent="0.4">
      <c r="A1022" s="2" t="s">
        <v>1212</v>
      </c>
      <c r="B1022" s="1" t="s">
        <v>1213</v>
      </c>
      <c r="C1022" s="1" t="str">
        <f t="shared" ref="C1022:C1029" si="25">"福山市野上町2-8-2"</f>
        <v>福山市野上町2-8-2</v>
      </c>
      <c r="D1022" s="1" t="s">
        <v>324</v>
      </c>
      <c r="E1022" s="3">
        <v>47087</v>
      </c>
      <c r="F1022" s="2"/>
    </row>
    <row r="1023" spans="1:6" ht="24.95" customHeight="1" x14ac:dyDescent="0.4">
      <c r="A1023" s="2" t="s">
        <v>1055</v>
      </c>
      <c r="B1023" s="1" t="s">
        <v>1213</v>
      </c>
      <c r="C1023" s="1" t="str">
        <f t="shared" si="25"/>
        <v>福山市野上町2-8-2</v>
      </c>
      <c r="D1023" s="1" t="s">
        <v>30</v>
      </c>
      <c r="E1023" s="3">
        <v>47087</v>
      </c>
      <c r="F1023" s="2"/>
    </row>
    <row r="1024" spans="1:6" ht="24.95" customHeight="1" x14ac:dyDescent="0.4">
      <c r="A1024" s="2" t="s">
        <v>1610</v>
      </c>
      <c r="B1024" s="1" t="s">
        <v>1213</v>
      </c>
      <c r="C1024" s="1" t="str">
        <f t="shared" si="25"/>
        <v>福山市野上町2-8-2</v>
      </c>
      <c r="D1024" s="1" t="s">
        <v>576</v>
      </c>
      <c r="E1024" s="3">
        <v>47087</v>
      </c>
      <c r="F1024" s="2"/>
    </row>
    <row r="1025" spans="1:6" ht="24.95" customHeight="1" x14ac:dyDescent="0.4">
      <c r="A1025" s="2" t="s">
        <v>1817</v>
      </c>
      <c r="B1025" s="1" t="s">
        <v>1213</v>
      </c>
      <c r="C1025" s="1" t="str">
        <f t="shared" si="25"/>
        <v>福山市野上町2-8-2</v>
      </c>
      <c r="D1025" s="1" t="s">
        <v>531</v>
      </c>
      <c r="E1025" s="3">
        <v>47087</v>
      </c>
      <c r="F1025" s="2"/>
    </row>
    <row r="1026" spans="1:6" ht="24.95" customHeight="1" x14ac:dyDescent="0.4">
      <c r="A1026" s="2" t="s">
        <v>1302</v>
      </c>
      <c r="B1026" s="1" t="s">
        <v>1213</v>
      </c>
      <c r="C1026" s="1" t="str">
        <f t="shared" si="25"/>
        <v>福山市野上町2-8-2</v>
      </c>
      <c r="D1026" s="1" t="s">
        <v>30</v>
      </c>
      <c r="E1026" s="3">
        <v>47087</v>
      </c>
      <c r="F1026" s="2"/>
    </row>
    <row r="1027" spans="1:6" ht="24.95" customHeight="1" x14ac:dyDescent="0.4">
      <c r="A1027" s="2" t="s">
        <v>2107</v>
      </c>
      <c r="B1027" s="1" t="s">
        <v>1213</v>
      </c>
      <c r="C1027" s="1" t="str">
        <f t="shared" si="25"/>
        <v>福山市野上町2-8-2</v>
      </c>
      <c r="D1027" s="1" t="s">
        <v>30</v>
      </c>
      <c r="E1027" s="3">
        <v>47087</v>
      </c>
      <c r="F1027" s="2"/>
    </row>
    <row r="1028" spans="1:6" ht="24.95" customHeight="1" x14ac:dyDescent="0.4">
      <c r="A1028" s="2" t="s">
        <v>1832</v>
      </c>
      <c r="B1028" s="1" t="s">
        <v>1213</v>
      </c>
      <c r="C1028" s="1" t="str">
        <f t="shared" si="25"/>
        <v>福山市野上町2-8-2</v>
      </c>
      <c r="D1028" s="1" t="s">
        <v>30</v>
      </c>
      <c r="E1028" s="3">
        <v>46721</v>
      </c>
      <c r="F1028" s="2"/>
    </row>
    <row r="1029" spans="1:6" ht="24.95" customHeight="1" x14ac:dyDescent="0.4">
      <c r="A1029" s="2" t="s">
        <v>2471</v>
      </c>
      <c r="B1029" s="1" t="s">
        <v>1213</v>
      </c>
      <c r="C1029" s="1" t="str">
        <f t="shared" si="25"/>
        <v>福山市野上町2-8-2</v>
      </c>
      <c r="D1029" s="1" t="s">
        <v>531</v>
      </c>
      <c r="E1029" s="3">
        <v>46721</v>
      </c>
      <c r="F1029" s="2"/>
    </row>
    <row r="1030" spans="1:6" ht="24.95" customHeight="1" x14ac:dyDescent="0.4">
      <c r="A1030" s="2" t="s">
        <v>546</v>
      </c>
      <c r="B1030" s="1" t="s">
        <v>547</v>
      </c>
      <c r="C1030" s="1" t="str">
        <f>"福山市柳津町1-2-26"</f>
        <v>福山市柳津町1-2-26</v>
      </c>
      <c r="D1030" s="1" t="s">
        <v>139</v>
      </c>
      <c r="E1030" s="3">
        <v>47087</v>
      </c>
      <c r="F1030" s="2"/>
    </row>
    <row r="1031" spans="1:6" ht="24.95" customHeight="1" x14ac:dyDescent="0.4">
      <c r="A1031" s="2" t="s">
        <v>2609</v>
      </c>
      <c r="B1031" s="1" t="s">
        <v>536</v>
      </c>
      <c r="C1031" s="1" t="str">
        <f>"福山市柳津町1-2-30"</f>
        <v>福山市柳津町1-2-30</v>
      </c>
      <c r="D1031" s="1" t="s">
        <v>41</v>
      </c>
      <c r="E1031" s="3">
        <v>47087</v>
      </c>
      <c r="F1031" s="2"/>
    </row>
    <row r="1032" spans="1:6" ht="24.95" customHeight="1" x14ac:dyDescent="0.4">
      <c r="A1032" s="2" t="s">
        <v>1816</v>
      </c>
      <c r="B1032" s="1" t="s">
        <v>1646</v>
      </c>
      <c r="C1032" s="1" t="str">
        <f>"福山市柳津町4-2-5"</f>
        <v>福山市柳津町4-2-5</v>
      </c>
      <c r="D1032" s="1" t="s">
        <v>139</v>
      </c>
      <c r="E1032" s="3">
        <v>47087</v>
      </c>
      <c r="F1032" s="2"/>
    </row>
    <row r="1033" spans="1:6" ht="24.95" customHeight="1" x14ac:dyDescent="0.4">
      <c r="A1033" s="2" t="s">
        <v>1015</v>
      </c>
      <c r="B1033" s="1" t="s">
        <v>1676</v>
      </c>
      <c r="C1033" s="1" t="str">
        <f t="shared" ref="C1033:C1041" si="26">"福山市緑町2-39"</f>
        <v>福山市緑町2-39</v>
      </c>
      <c r="D1033" s="1" t="s">
        <v>240</v>
      </c>
      <c r="E1033" s="3">
        <v>47087</v>
      </c>
      <c r="F1033" s="2"/>
    </row>
    <row r="1034" spans="1:6" ht="24.95" customHeight="1" x14ac:dyDescent="0.4">
      <c r="A1034" s="2" t="s">
        <v>1678</v>
      </c>
      <c r="B1034" s="1" t="s">
        <v>1676</v>
      </c>
      <c r="C1034" s="1" t="str">
        <f t="shared" si="26"/>
        <v>福山市緑町2-39</v>
      </c>
      <c r="D1034" s="1" t="s">
        <v>286</v>
      </c>
      <c r="E1034" s="3">
        <v>47087</v>
      </c>
      <c r="F1034" s="2"/>
    </row>
    <row r="1035" spans="1:6" ht="24.95" customHeight="1" x14ac:dyDescent="0.4">
      <c r="A1035" s="2" t="s">
        <v>234</v>
      </c>
      <c r="B1035" s="1" t="s">
        <v>1676</v>
      </c>
      <c r="C1035" s="1" t="str">
        <f t="shared" si="26"/>
        <v>福山市緑町2-39</v>
      </c>
      <c r="D1035" s="1" t="s">
        <v>286</v>
      </c>
      <c r="E1035" s="3">
        <v>47087</v>
      </c>
      <c r="F1035" s="2"/>
    </row>
    <row r="1036" spans="1:6" ht="24.95" customHeight="1" x14ac:dyDescent="0.4">
      <c r="A1036" s="2" t="s">
        <v>1680</v>
      </c>
      <c r="B1036" s="1" t="s">
        <v>1676</v>
      </c>
      <c r="C1036" s="1" t="str">
        <f t="shared" si="26"/>
        <v>福山市緑町2-39</v>
      </c>
      <c r="D1036" s="1" t="s">
        <v>240</v>
      </c>
      <c r="E1036" s="3">
        <v>47087</v>
      </c>
      <c r="F1036" s="2"/>
    </row>
    <row r="1037" spans="1:6" ht="24.95" customHeight="1" x14ac:dyDescent="0.4">
      <c r="A1037" s="2" t="s">
        <v>1681</v>
      </c>
      <c r="B1037" s="1" t="s">
        <v>1676</v>
      </c>
      <c r="C1037" s="1" t="str">
        <f t="shared" si="26"/>
        <v>福山市緑町2-39</v>
      </c>
      <c r="D1037" s="1" t="s">
        <v>240</v>
      </c>
      <c r="E1037" s="3">
        <v>47087</v>
      </c>
      <c r="F1037" s="2"/>
    </row>
    <row r="1038" spans="1:6" ht="24.95" customHeight="1" x14ac:dyDescent="0.4">
      <c r="A1038" s="2" t="s">
        <v>1682</v>
      </c>
      <c r="B1038" s="1" t="s">
        <v>1676</v>
      </c>
      <c r="C1038" s="1" t="str">
        <f t="shared" si="26"/>
        <v>福山市緑町2-39</v>
      </c>
      <c r="D1038" s="1" t="s">
        <v>240</v>
      </c>
      <c r="E1038" s="3">
        <v>47087</v>
      </c>
      <c r="F1038" s="2"/>
    </row>
    <row r="1039" spans="1:6" ht="24.95" customHeight="1" x14ac:dyDescent="0.4">
      <c r="A1039" s="2" t="s">
        <v>1683</v>
      </c>
      <c r="B1039" s="1" t="s">
        <v>1676</v>
      </c>
      <c r="C1039" s="1" t="str">
        <f t="shared" si="26"/>
        <v>福山市緑町2-39</v>
      </c>
      <c r="D1039" s="1" t="s">
        <v>240</v>
      </c>
      <c r="E1039" s="3">
        <v>47087</v>
      </c>
      <c r="F1039" s="2"/>
    </row>
    <row r="1040" spans="1:6" ht="24.95" customHeight="1" x14ac:dyDescent="0.4">
      <c r="A1040" s="2" t="s">
        <v>1684</v>
      </c>
      <c r="B1040" s="1" t="s">
        <v>1676</v>
      </c>
      <c r="C1040" s="1" t="str">
        <f t="shared" si="26"/>
        <v>福山市緑町2-39</v>
      </c>
      <c r="D1040" s="1" t="s">
        <v>240</v>
      </c>
      <c r="E1040" s="3">
        <v>47087</v>
      </c>
      <c r="F1040" s="2"/>
    </row>
    <row r="1041" spans="1:6" ht="24.95" customHeight="1" x14ac:dyDescent="0.4">
      <c r="A1041" s="2" t="s">
        <v>1273</v>
      </c>
      <c r="B1041" s="1" t="s">
        <v>1676</v>
      </c>
      <c r="C1041" s="1" t="str">
        <f t="shared" si="26"/>
        <v>福山市緑町2-39</v>
      </c>
      <c r="D1041" s="1" t="s">
        <v>240</v>
      </c>
      <c r="E1041" s="3">
        <v>47087</v>
      </c>
      <c r="F1041" s="2"/>
    </row>
    <row r="1042" spans="1:6" ht="24.95" customHeight="1" x14ac:dyDescent="0.4">
      <c r="A1042" s="2" t="s">
        <v>482</v>
      </c>
      <c r="B1042" s="1" t="s">
        <v>107</v>
      </c>
      <c r="C1042" s="1" t="str">
        <f>"福山市鞆町後地1296-2"</f>
        <v>福山市鞆町後地1296-2</v>
      </c>
      <c r="D1042" s="1" t="s">
        <v>717</v>
      </c>
      <c r="E1042" s="3">
        <v>47087</v>
      </c>
      <c r="F1042" s="2"/>
    </row>
    <row r="1043" spans="1:6" ht="24.95" customHeight="1" x14ac:dyDescent="0.4">
      <c r="A1043" s="2" t="s">
        <v>90</v>
      </c>
      <c r="B1043" s="1" t="s">
        <v>289</v>
      </c>
      <c r="C1043" s="1" t="s">
        <v>769</v>
      </c>
      <c r="D1043" s="1" t="s">
        <v>188</v>
      </c>
      <c r="E1043" s="3">
        <v>47087</v>
      </c>
      <c r="F1043" s="2"/>
    </row>
    <row r="1044" spans="1:6" ht="24.95" customHeight="1" x14ac:dyDescent="0.4">
      <c r="A1044" s="2" t="s">
        <v>205</v>
      </c>
      <c r="B1044" s="1" t="s">
        <v>1313</v>
      </c>
      <c r="C1044" s="1" t="str">
        <f>"福山市鞆町鞆908-3"</f>
        <v>福山市鞆町鞆908-3</v>
      </c>
      <c r="D1044" s="1" t="s">
        <v>576</v>
      </c>
      <c r="E1044" s="3">
        <v>47087</v>
      </c>
      <c r="F1044" s="2"/>
    </row>
    <row r="1045" spans="1:6" ht="24.95" customHeight="1" x14ac:dyDescent="0.4">
      <c r="A1045" s="2" t="s">
        <v>992</v>
      </c>
      <c r="B1045" s="1" t="s">
        <v>1157</v>
      </c>
      <c r="C1045" s="1" t="str">
        <f t="shared" ref="C1045:C1054" si="27">"府中市鵜飼町555-3"</f>
        <v>府中市鵜飼町555-3</v>
      </c>
      <c r="D1045" s="1" t="s">
        <v>531</v>
      </c>
      <c r="E1045" s="3">
        <v>47087</v>
      </c>
      <c r="F1045" s="2"/>
    </row>
    <row r="1046" spans="1:6" ht="24.95" customHeight="1" x14ac:dyDescent="0.4">
      <c r="A1046" s="2" t="s">
        <v>1477</v>
      </c>
      <c r="B1046" s="1" t="s">
        <v>1157</v>
      </c>
      <c r="C1046" s="1" t="str">
        <f t="shared" si="27"/>
        <v>府中市鵜飼町555-3</v>
      </c>
      <c r="D1046" s="1" t="s">
        <v>531</v>
      </c>
      <c r="E1046" s="3">
        <v>47087</v>
      </c>
      <c r="F1046" s="2"/>
    </row>
    <row r="1047" spans="1:6" ht="24.95" customHeight="1" x14ac:dyDescent="0.4">
      <c r="A1047" s="2" t="s">
        <v>1697</v>
      </c>
      <c r="B1047" s="1" t="s">
        <v>1157</v>
      </c>
      <c r="C1047" s="1" t="str">
        <f t="shared" si="27"/>
        <v>府中市鵜飼町555-3</v>
      </c>
      <c r="D1047" s="1" t="s">
        <v>576</v>
      </c>
      <c r="E1047" s="3">
        <v>47087</v>
      </c>
      <c r="F1047" s="2"/>
    </row>
    <row r="1048" spans="1:6" ht="24.95" customHeight="1" x14ac:dyDescent="0.4">
      <c r="A1048" s="2" t="s">
        <v>1958</v>
      </c>
      <c r="B1048" s="1" t="s">
        <v>1157</v>
      </c>
      <c r="C1048" s="1" t="str">
        <f t="shared" si="27"/>
        <v>府中市鵜飼町555-3</v>
      </c>
      <c r="D1048" s="1" t="s">
        <v>274</v>
      </c>
      <c r="E1048" s="3">
        <v>47087</v>
      </c>
      <c r="F1048" s="2"/>
    </row>
    <row r="1049" spans="1:6" ht="24.95" customHeight="1" x14ac:dyDescent="0.4">
      <c r="A1049" s="2" t="s">
        <v>2049</v>
      </c>
      <c r="B1049" s="1" t="s">
        <v>1157</v>
      </c>
      <c r="C1049" s="1" t="str">
        <f t="shared" si="27"/>
        <v>府中市鵜飼町555-3</v>
      </c>
      <c r="D1049" s="1" t="s">
        <v>30</v>
      </c>
      <c r="E1049" s="3">
        <v>47087</v>
      </c>
      <c r="F1049" s="2"/>
    </row>
    <row r="1050" spans="1:6" ht="24.95" customHeight="1" x14ac:dyDescent="0.4">
      <c r="A1050" s="2" t="s">
        <v>2149</v>
      </c>
      <c r="B1050" s="1" t="s">
        <v>1157</v>
      </c>
      <c r="C1050" s="1" t="str">
        <f t="shared" si="27"/>
        <v>府中市鵜飼町555-3</v>
      </c>
      <c r="D1050" s="1" t="s">
        <v>30</v>
      </c>
      <c r="E1050" s="3">
        <v>47087</v>
      </c>
      <c r="F1050" s="2"/>
    </row>
    <row r="1051" spans="1:6" ht="24.95" customHeight="1" x14ac:dyDescent="0.4">
      <c r="A1051" s="2" t="s">
        <v>2276</v>
      </c>
      <c r="B1051" s="1" t="s">
        <v>1157</v>
      </c>
      <c r="C1051" s="1" t="str">
        <f t="shared" si="27"/>
        <v>府中市鵜飼町555-3</v>
      </c>
      <c r="D1051" s="1" t="s">
        <v>324</v>
      </c>
      <c r="E1051" s="3">
        <v>47087</v>
      </c>
      <c r="F1051" s="2"/>
    </row>
    <row r="1052" spans="1:6" ht="24.95" customHeight="1" x14ac:dyDescent="0.4">
      <c r="A1052" s="2" t="s">
        <v>2339</v>
      </c>
      <c r="B1052" s="1" t="s">
        <v>1157</v>
      </c>
      <c r="C1052" s="1" t="str">
        <f t="shared" si="27"/>
        <v>府中市鵜飼町555-3</v>
      </c>
      <c r="D1052" s="1" t="s">
        <v>144</v>
      </c>
      <c r="E1052" s="3">
        <v>47087</v>
      </c>
      <c r="F1052" s="2"/>
    </row>
    <row r="1053" spans="1:6" ht="24.95" customHeight="1" x14ac:dyDescent="0.4">
      <c r="A1053" s="2" t="s">
        <v>1299</v>
      </c>
      <c r="B1053" s="1" t="s">
        <v>1157</v>
      </c>
      <c r="C1053" s="1" t="str">
        <f t="shared" si="27"/>
        <v>府中市鵜飼町555-3</v>
      </c>
      <c r="D1053" s="1" t="s">
        <v>30</v>
      </c>
      <c r="E1053" s="3">
        <v>47087</v>
      </c>
      <c r="F1053" s="2"/>
    </row>
    <row r="1054" spans="1:6" ht="24.95" customHeight="1" x14ac:dyDescent="0.4">
      <c r="A1054" s="2" t="s">
        <v>2736</v>
      </c>
      <c r="B1054" s="1" t="s">
        <v>1157</v>
      </c>
      <c r="C1054" s="1" t="str">
        <f t="shared" si="27"/>
        <v>府中市鵜飼町555-3</v>
      </c>
      <c r="D1054" s="1" t="s">
        <v>30</v>
      </c>
      <c r="E1054" s="3">
        <v>47087</v>
      </c>
      <c r="F1054" s="2"/>
    </row>
    <row r="1055" spans="1:6" ht="24.95" customHeight="1" x14ac:dyDescent="0.4">
      <c r="A1055" s="2" t="s">
        <v>685</v>
      </c>
      <c r="B1055" s="1" t="s">
        <v>690</v>
      </c>
      <c r="C1055" s="1" t="str">
        <f>"府中市鵜飼町699-10"</f>
        <v>府中市鵜飼町699-10</v>
      </c>
      <c r="D1055" s="1" t="s">
        <v>70</v>
      </c>
      <c r="E1055" s="3">
        <v>47087</v>
      </c>
      <c r="F1055" s="2"/>
    </row>
    <row r="1056" spans="1:6" ht="24.95" customHeight="1" x14ac:dyDescent="0.4">
      <c r="A1056" s="2" t="s">
        <v>71</v>
      </c>
      <c r="B1056" s="1" t="s">
        <v>808</v>
      </c>
      <c r="C1056" s="1" t="str">
        <f>"府中市栗柄町2203-4"</f>
        <v>府中市栗柄町2203-4</v>
      </c>
      <c r="D1056" s="1" t="s">
        <v>192</v>
      </c>
      <c r="E1056" s="3">
        <v>47087</v>
      </c>
      <c r="F1056" s="2"/>
    </row>
    <row r="1057" spans="1:6" ht="24.95" customHeight="1" x14ac:dyDescent="0.4">
      <c r="A1057" s="2" t="s">
        <v>2723</v>
      </c>
      <c r="B1057" s="1" t="s">
        <v>1554</v>
      </c>
      <c r="C1057" s="1" t="str">
        <f>"府中市元町43-1"</f>
        <v>府中市元町43-1</v>
      </c>
      <c r="D1057" s="1" t="s">
        <v>903</v>
      </c>
      <c r="E1057" s="3">
        <v>46356</v>
      </c>
      <c r="F1057" s="2"/>
    </row>
    <row r="1058" spans="1:6" ht="24.95" customHeight="1" x14ac:dyDescent="0.4">
      <c r="A1058" s="2" t="s">
        <v>2720</v>
      </c>
      <c r="B1058" s="1" t="s">
        <v>2721</v>
      </c>
      <c r="C1058" s="1" t="str">
        <f>"府中市元町576-9"</f>
        <v>府中市元町576-9</v>
      </c>
      <c r="D1058" s="1" t="s">
        <v>139</v>
      </c>
      <c r="E1058" s="3">
        <v>45991</v>
      </c>
      <c r="F1058" s="2"/>
    </row>
    <row r="1059" spans="1:6" ht="24.95" customHeight="1" x14ac:dyDescent="0.4">
      <c r="A1059" s="2" t="s">
        <v>744</v>
      </c>
      <c r="B1059" s="1" t="s">
        <v>686</v>
      </c>
      <c r="C1059" s="1" t="str">
        <f>"府中市高木町189-1"</f>
        <v>府中市高木町189-1</v>
      </c>
      <c r="D1059" s="1" t="s">
        <v>30</v>
      </c>
      <c r="E1059" s="3">
        <v>47087</v>
      </c>
      <c r="F1059" s="2"/>
    </row>
    <row r="1060" spans="1:6" ht="24.95" customHeight="1" x14ac:dyDescent="0.4">
      <c r="A1060" s="2" t="s">
        <v>689</v>
      </c>
      <c r="B1060" s="1" t="s">
        <v>1734</v>
      </c>
      <c r="C1060" s="1" t="s">
        <v>416</v>
      </c>
      <c r="D1060" s="1" t="s">
        <v>30</v>
      </c>
      <c r="E1060" s="3">
        <v>47087</v>
      </c>
      <c r="F1060" s="2"/>
    </row>
    <row r="1061" spans="1:6" ht="24.95" customHeight="1" x14ac:dyDescent="0.4">
      <c r="A1061" s="2" t="s">
        <v>1440</v>
      </c>
      <c r="B1061" s="1" t="s">
        <v>1196</v>
      </c>
      <c r="C1061" s="1" t="str">
        <f>"府中市高木町60-1"</f>
        <v>府中市高木町60-1</v>
      </c>
      <c r="D1061" s="1" t="s">
        <v>139</v>
      </c>
      <c r="E1061" s="3">
        <v>47087</v>
      </c>
      <c r="F1061" s="2"/>
    </row>
    <row r="1062" spans="1:6" ht="24.95" customHeight="1" x14ac:dyDescent="0.4">
      <c r="A1062" s="2" t="s">
        <v>2031</v>
      </c>
      <c r="B1062" s="1" t="s">
        <v>1196</v>
      </c>
      <c r="C1062" s="1" t="str">
        <f>"府中市高木町60-1"</f>
        <v>府中市高木町60-1</v>
      </c>
      <c r="D1062" s="1" t="s">
        <v>139</v>
      </c>
      <c r="E1062" s="3">
        <v>47087</v>
      </c>
      <c r="F1062" s="2"/>
    </row>
    <row r="1063" spans="1:6" ht="24.95" customHeight="1" x14ac:dyDescent="0.4">
      <c r="A1063" s="2" t="s">
        <v>1876</v>
      </c>
      <c r="B1063" s="1" t="s">
        <v>916</v>
      </c>
      <c r="C1063" s="1" t="str">
        <f>"府中市高木町658-1"</f>
        <v>府中市高木町658-1</v>
      </c>
      <c r="D1063" s="1" t="s">
        <v>220</v>
      </c>
      <c r="E1063" s="3">
        <v>47087</v>
      </c>
      <c r="F1063" s="2"/>
    </row>
    <row r="1064" spans="1:6" ht="24.95" customHeight="1" x14ac:dyDescent="0.4">
      <c r="A1064" s="2" t="s">
        <v>1910</v>
      </c>
      <c r="B1064" s="1" t="s">
        <v>1349</v>
      </c>
      <c r="C1064" s="1" t="s">
        <v>1907</v>
      </c>
      <c r="D1064" s="1" t="s">
        <v>324</v>
      </c>
      <c r="E1064" s="3">
        <v>47087</v>
      </c>
      <c r="F1064" s="2"/>
    </row>
    <row r="1065" spans="1:6" ht="24.95" customHeight="1" x14ac:dyDescent="0.4">
      <c r="A1065" s="2" t="s">
        <v>2646</v>
      </c>
      <c r="B1065" s="1" t="s">
        <v>1349</v>
      </c>
      <c r="C1065" s="1" t="s">
        <v>1907</v>
      </c>
      <c r="D1065" s="1" t="s">
        <v>30</v>
      </c>
      <c r="E1065" s="3">
        <v>47087</v>
      </c>
      <c r="F1065" s="2"/>
    </row>
    <row r="1066" spans="1:6" ht="24.95" customHeight="1" x14ac:dyDescent="0.4">
      <c r="A1066" s="2" t="s">
        <v>2740</v>
      </c>
      <c r="B1066" s="1" t="s">
        <v>1349</v>
      </c>
      <c r="C1066" s="1" t="s">
        <v>1907</v>
      </c>
      <c r="D1066" s="1" t="s">
        <v>30</v>
      </c>
      <c r="E1066" s="3">
        <v>45626</v>
      </c>
      <c r="F1066" s="2"/>
    </row>
    <row r="1067" spans="1:6" ht="24.95" customHeight="1" x14ac:dyDescent="0.4">
      <c r="A1067" s="2" t="s">
        <v>226</v>
      </c>
      <c r="B1067" s="1" t="s">
        <v>623</v>
      </c>
      <c r="C1067" s="1" t="s">
        <v>215</v>
      </c>
      <c r="D1067" s="1" t="s">
        <v>30</v>
      </c>
      <c r="E1067" s="3">
        <v>47087</v>
      </c>
      <c r="F1067" s="2"/>
    </row>
    <row r="1068" spans="1:6" ht="24.95" customHeight="1" x14ac:dyDescent="0.4">
      <c r="A1068" s="2" t="s">
        <v>2010</v>
      </c>
      <c r="B1068" s="1" t="s">
        <v>2011</v>
      </c>
      <c r="C1068" s="1" t="s">
        <v>2012</v>
      </c>
      <c r="D1068" s="1" t="s">
        <v>324</v>
      </c>
      <c r="E1068" s="3">
        <v>47087</v>
      </c>
      <c r="F1068" s="2"/>
    </row>
    <row r="1069" spans="1:6" ht="24.95" customHeight="1" x14ac:dyDescent="0.4">
      <c r="A1069" s="2" t="s">
        <v>474</v>
      </c>
      <c r="B1069" s="1" t="s">
        <v>748</v>
      </c>
      <c r="C1069" s="1" t="str">
        <f>"府中市土生町1572-2"</f>
        <v>府中市土生町1572-2</v>
      </c>
      <c r="D1069" s="1" t="s">
        <v>324</v>
      </c>
      <c r="E1069" s="3">
        <v>47087</v>
      </c>
      <c r="F1069" s="2"/>
    </row>
    <row r="1070" spans="1:6" ht="24.95" customHeight="1" x14ac:dyDescent="0.4">
      <c r="A1070" s="2" t="s">
        <v>2328</v>
      </c>
      <c r="B1070" s="1" t="s">
        <v>1054</v>
      </c>
      <c r="C1070" s="1" t="str">
        <f>"府中市府川町140-4"</f>
        <v>府中市府川町140-4</v>
      </c>
      <c r="D1070" s="1" t="s">
        <v>576</v>
      </c>
      <c r="E1070" s="3">
        <v>47087</v>
      </c>
      <c r="F1070" s="2"/>
    </row>
    <row r="1071" spans="1:6" ht="24.95" customHeight="1" x14ac:dyDescent="0.4">
      <c r="A1071" s="2" t="s">
        <v>368</v>
      </c>
      <c r="B1071" s="1" t="s">
        <v>2618</v>
      </c>
      <c r="C1071" s="1" t="str">
        <f>"府中市府川町171-1"</f>
        <v>府中市府川町171-1</v>
      </c>
      <c r="D1071" s="1" t="s">
        <v>30</v>
      </c>
      <c r="E1071" s="3">
        <v>47087</v>
      </c>
      <c r="F1071" s="2"/>
    </row>
    <row r="1072" spans="1:6" ht="24.95" customHeight="1" x14ac:dyDescent="0.4">
      <c r="A1072" s="2" t="s">
        <v>117</v>
      </c>
      <c r="B1072" s="1" t="s">
        <v>338</v>
      </c>
      <c r="C1072" s="1" t="str">
        <f>"府中市府川町368-1"</f>
        <v>府中市府川町368-1</v>
      </c>
      <c r="D1072" s="1" t="s">
        <v>41</v>
      </c>
      <c r="E1072" s="3">
        <v>47087</v>
      </c>
      <c r="F1072" s="2"/>
    </row>
    <row r="1073" spans="1:6" ht="24.95" customHeight="1" x14ac:dyDescent="0.4">
      <c r="A1073" s="2" t="s">
        <v>1862</v>
      </c>
      <c r="B1073" s="1" t="s">
        <v>674</v>
      </c>
      <c r="C1073" s="1" t="str">
        <f>"府中市府中町838-3"</f>
        <v>府中市府中町838-3</v>
      </c>
      <c r="D1073" s="1" t="s">
        <v>30</v>
      </c>
      <c r="E1073" s="3">
        <v>47087</v>
      </c>
      <c r="F1073" s="2"/>
    </row>
    <row r="1074" spans="1:6" ht="24.95" customHeight="1" x14ac:dyDescent="0.4">
      <c r="A1074" s="2" t="s">
        <v>971</v>
      </c>
      <c r="B1074" s="1" t="s">
        <v>972</v>
      </c>
      <c r="C1074" s="1" t="s">
        <v>974</v>
      </c>
      <c r="D1074" s="1" t="s">
        <v>30</v>
      </c>
      <c r="E1074" s="3">
        <v>47087</v>
      </c>
      <c r="F1074" s="2"/>
    </row>
    <row r="1075" spans="1:6" ht="24.95" customHeight="1" x14ac:dyDescent="0.4">
      <c r="A1075" s="2" t="s">
        <v>2159</v>
      </c>
      <c r="B1075" s="1" t="s">
        <v>1595</v>
      </c>
      <c r="C1075" s="1" t="str">
        <f>"三次市下志和地町710-12"</f>
        <v>三次市下志和地町710-12</v>
      </c>
      <c r="D1075" s="1" t="s">
        <v>2160</v>
      </c>
      <c r="E1075" s="3">
        <v>47087</v>
      </c>
      <c r="F1075" s="2"/>
    </row>
    <row r="1076" spans="1:6" ht="24.95" customHeight="1" x14ac:dyDescent="0.4">
      <c r="A1076" s="2" t="s">
        <v>1786</v>
      </c>
      <c r="B1076" s="1" t="s">
        <v>2133</v>
      </c>
      <c r="C1076" s="1" t="str">
        <f>"三次市吉舎町敷地1497-1"</f>
        <v>三次市吉舎町敷地1497-1</v>
      </c>
      <c r="D1076" s="1" t="s">
        <v>30</v>
      </c>
      <c r="E1076" s="3">
        <v>47087</v>
      </c>
      <c r="F1076" s="2"/>
    </row>
    <row r="1077" spans="1:6" ht="24.95" customHeight="1" x14ac:dyDescent="0.4">
      <c r="A1077" s="2" t="s">
        <v>1174</v>
      </c>
      <c r="B1077" s="1" t="s">
        <v>2670</v>
      </c>
      <c r="C1077" s="1" t="str">
        <f>"三次市甲奴町本郷645-1"</f>
        <v>三次市甲奴町本郷645-1</v>
      </c>
      <c r="D1077" s="1" t="s">
        <v>30</v>
      </c>
      <c r="E1077" s="3">
        <v>47087</v>
      </c>
      <c r="F1077" s="2"/>
    </row>
    <row r="1078" spans="1:6" ht="24.95" customHeight="1" x14ac:dyDescent="0.4">
      <c r="A1078" s="2" t="s">
        <v>2610</v>
      </c>
      <c r="B1078" s="1" t="s">
        <v>1545</v>
      </c>
      <c r="C1078" s="1" t="s">
        <v>169</v>
      </c>
      <c r="D1078" s="1" t="s">
        <v>41</v>
      </c>
      <c r="E1078" s="3">
        <v>46356</v>
      </c>
      <c r="F1078" s="2"/>
    </row>
    <row r="1079" spans="1:6" ht="24.95" customHeight="1" x14ac:dyDescent="0.4">
      <c r="A1079" s="2" t="s">
        <v>1757</v>
      </c>
      <c r="B1079" s="1" t="s">
        <v>1758</v>
      </c>
      <c r="C1079" s="1" t="str">
        <f>"三次市三次町1308-1"</f>
        <v>三次市三次町1308-1</v>
      </c>
      <c r="D1079" s="1" t="s">
        <v>139</v>
      </c>
      <c r="E1079" s="3">
        <v>47087</v>
      </c>
      <c r="F1079" s="2"/>
    </row>
    <row r="1080" spans="1:6" ht="24.95" customHeight="1" x14ac:dyDescent="0.4">
      <c r="A1080" s="2" t="s">
        <v>1913</v>
      </c>
      <c r="B1080" s="1" t="s">
        <v>1969</v>
      </c>
      <c r="C1080" s="1" t="str">
        <f>"三次市三次町1542-6"</f>
        <v>三次市三次町1542-6</v>
      </c>
      <c r="D1080" s="1" t="s">
        <v>717</v>
      </c>
      <c r="E1080" s="3">
        <v>47087</v>
      </c>
      <c r="F1080" s="2"/>
    </row>
    <row r="1081" spans="1:6" ht="24.95" customHeight="1" x14ac:dyDescent="0.4">
      <c r="A1081" s="2" t="s">
        <v>38</v>
      </c>
      <c r="B1081" s="1" t="s">
        <v>960</v>
      </c>
      <c r="C1081" s="1" t="str">
        <f>"三次市三良坂町三良坂1096-3"</f>
        <v>三次市三良坂町三良坂1096-3</v>
      </c>
      <c r="D1081" s="1" t="s">
        <v>964</v>
      </c>
      <c r="E1081" s="3">
        <v>47087</v>
      </c>
      <c r="F1081" s="2"/>
    </row>
    <row r="1082" spans="1:6" ht="24.95" customHeight="1" x14ac:dyDescent="0.4">
      <c r="A1082" s="2" t="s">
        <v>486</v>
      </c>
      <c r="B1082" s="1" t="s">
        <v>1855</v>
      </c>
      <c r="C1082" s="1" t="str">
        <f>"三次市三良坂町三良坂877-5"</f>
        <v>三次市三良坂町三良坂877-5</v>
      </c>
      <c r="D1082" s="1" t="s">
        <v>41</v>
      </c>
      <c r="E1082" s="3">
        <v>47087</v>
      </c>
      <c r="F1082" s="2"/>
    </row>
    <row r="1083" spans="1:6" ht="24.95" customHeight="1" x14ac:dyDescent="0.4">
      <c r="A1083" s="2" t="s">
        <v>166</v>
      </c>
      <c r="B1083" s="1" t="s">
        <v>171</v>
      </c>
      <c r="C1083" s="1" t="str">
        <f>"三次市三和町敷名4830-1"</f>
        <v>三次市三和町敷名4830-1</v>
      </c>
      <c r="D1083" s="1" t="s">
        <v>174</v>
      </c>
      <c r="E1083" s="3">
        <v>47087</v>
      </c>
      <c r="F1083" s="2"/>
    </row>
    <row r="1084" spans="1:6" ht="24.95" customHeight="1" x14ac:dyDescent="0.4">
      <c r="A1084" s="2" t="s">
        <v>870</v>
      </c>
      <c r="B1084" s="1" t="s">
        <v>871</v>
      </c>
      <c r="C1084" s="1" t="str">
        <f>"三次市山家町605-20"</f>
        <v>三次市山家町605-20</v>
      </c>
      <c r="D1084" s="1" t="s">
        <v>700</v>
      </c>
      <c r="E1084" s="3">
        <v>47087</v>
      </c>
      <c r="F1084" s="2"/>
    </row>
    <row r="1085" spans="1:6" ht="24.95" customHeight="1" x14ac:dyDescent="0.4">
      <c r="A1085" s="2" t="s">
        <v>2634</v>
      </c>
      <c r="B1085" s="1" t="s">
        <v>2099</v>
      </c>
      <c r="C1085" s="1" t="str">
        <f>"三次市四拾貫町16-2"</f>
        <v>三次市四拾貫町16-2</v>
      </c>
      <c r="D1085" s="1" t="s">
        <v>30</v>
      </c>
      <c r="E1085" s="3">
        <v>47087</v>
      </c>
      <c r="F1085" s="2"/>
    </row>
    <row r="1086" spans="1:6" ht="24.95" customHeight="1" x14ac:dyDescent="0.4">
      <c r="A1086" s="2" t="s">
        <v>1919</v>
      </c>
      <c r="B1086" s="1" t="s">
        <v>101</v>
      </c>
      <c r="C1086" s="1" t="str">
        <f>"三次市十日市西6-6-10"</f>
        <v>三次市十日市西6-6-10</v>
      </c>
      <c r="D1086" s="1" t="s">
        <v>324</v>
      </c>
      <c r="E1086" s="3">
        <v>47087</v>
      </c>
      <c r="F1086" s="2"/>
    </row>
    <row r="1087" spans="1:6" ht="24.95" customHeight="1" x14ac:dyDescent="0.4">
      <c r="A1087" s="2" t="s">
        <v>2597</v>
      </c>
      <c r="B1087" s="1" t="s">
        <v>1029</v>
      </c>
      <c r="C1087" s="1" t="str">
        <f>"三次市十日市中2-14-33"</f>
        <v>三次市十日市中2-14-33</v>
      </c>
      <c r="D1087" s="5" t="s">
        <v>2555</v>
      </c>
      <c r="E1087" s="3">
        <v>47087</v>
      </c>
      <c r="F1087" s="2"/>
    </row>
    <row r="1088" spans="1:6" ht="24.95" customHeight="1" x14ac:dyDescent="0.4">
      <c r="A1088" s="2" t="s">
        <v>2716</v>
      </c>
      <c r="B1088" s="1" t="s">
        <v>2717</v>
      </c>
      <c r="C1088" s="1" t="str">
        <f>"三次市十日市中4-6-10"</f>
        <v>三次市十日市中4-6-10</v>
      </c>
      <c r="D1088" s="1" t="s">
        <v>192</v>
      </c>
      <c r="E1088" s="3">
        <v>45991</v>
      </c>
      <c r="F1088" s="2"/>
    </row>
    <row r="1089" spans="1:6" ht="24.95" customHeight="1" x14ac:dyDescent="0.4">
      <c r="A1089" s="2" t="s">
        <v>197</v>
      </c>
      <c r="B1089" s="1" t="s">
        <v>1217</v>
      </c>
      <c r="C1089" s="1" t="str">
        <f>"三次市十日市東1-11-5"</f>
        <v>三次市十日市東1-11-5</v>
      </c>
      <c r="D1089" s="1" t="s">
        <v>139</v>
      </c>
      <c r="E1089" s="3">
        <v>45991</v>
      </c>
      <c r="F1089" s="2"/>
    </row>
    <row r="1090" spans="1:6" ht="24.95" customHeight="1" x14ac:dyDescent="0.4">
      <c r="A1090" s="2" t="s">
        <v>2550</v>
      </c>
      <c r="B1090" s="1" t="s">
        <v>1204</v>
      </c>
      <c r="C1090" s="1" t="str">
        <f>"三次市十日市東2-3-18"</f>
        <v>三次市十日市東2-3-18</v>
      </c>
      <c r="D1090" s="1" t="s">
        <v>30</v>
      </c>
      <c r="E1090" s="3">
        <v>47087</v>
      </c>
      <c r="F1090" s="2"/>
    </row>
    <row r="1091" spans="1:6" ht="24.95" customHeight="1" x14ac:dyDescent="0.4">
      <c r="A1091" s="2" t="s">
        <v>21</v>
      </c>
      <c r="B1091" s="1" t="s">
        <v>1992</v>
      </c>
      <c r="C1091" s="1" t="str">
        <f>"三次市十日市東3-14-1-3F"</f>
        <v>三次市十日市東3-14-1-3F</v>
      </c>
      <c r="D1091" s="1" t="s">
        <v>104</v>
      </c>
      <c r="E1091" s="3">
        <v>47087</v>
      </c>
      <c r="F1091" s="2"/>
    </row>
    <row r="1092" spans="1:6" ht="24.95" customHeight="1" x14ac:dyDescent="0.4">
      <c r="A1092" s="2" t="s">
        <v>1980</v>
      </c>
      <c r="B1092" s="1" t="s">
        <v>1982</v>
      </c>
      <c r="C1092" s="1" t="str">
        <f>"三次市十日市東3-16-1"</f>
        <v>三次市十日市東3-16-1</v>
      </c>
      <c r="D1092" s="1" t="s">
        <v>240</v>
      </c>
      <c r="E1092" s="3">
        <v>47087</v>
      </c>
      <c r="F1092" s="2"/>
    </row>
    <row r="1093" spans="1:6" ht="24.95" customHeight="1" x14ac:dyDescent="0.4">
      <c r="A1093" s="2" t="s">
        <v>1252</v>
      </c>
      <c r="B1093" s="1" t="s">
        <v>1982</v>
      </c>
      <c r="C1093" s="1" t="str">
        <f>"三次市十日市東3-16-1"</f>
        <v>三次市十日市東3-16-1</v>
      </c>
      <c r="D1093" s="1" t="s">
        <v>296</v>
      </c>
      <c r="E1093" s="3">
        <v>47087</v>
      </c>
      <c r="F1093" s="2"/>
    </row>
    <row r="1094" spans="1:6" ht="24.95" customHeight="1" x14ac:dyDescent="0.4">
      <c r="A1094" s="2" t="s">
        <v>850</v>
      </c>
      <c r="B1094" s="1" t="s">
        <v>851</v>
      </c>
      <c r="C1094" s="1" t="str">
        <f>"三次市十日市東4-1-1"</f>
        <v>三次市十日市東4-1-1</v>
      </c>
      <c r="D1094" s="1" t="s">
        <v>279</v>
      </c>
      <c r="E1094" s="3">
        <v>47087</v>
      </c>
      <c r="F1094" s="2"/>
    </row>
    <row r="1095" spans="1:6" ht="24.95" customHeight="1" x14ac:dyDescent="0.4">
      <c r="A1095" s="2" t="s">
        <v>199</v>
      </c>
      <c r="B1095" s="1" t="s">
        <v>880</v>
      </c>
      <c r="C1095" s="1" t="str">
        <f>"三次市十日市東4-3-10"</f>
        <v>三次市十日市東4-3-10</v>
      </c>
      <c r="D1095" s="1" t="s">
        <v>278</v>
      </c>
      <c r="E1095" s="3">
        <v>47087</v>
      </c>
      <c r="F1095" s="2"/>
    </row>
    <row r="1096" spans="1:6" ht="24.95" customHeight="1" x14ac:dyDescent="0.4">
      <c r="A1096" s="2" t="s">
        <v>1381</v>
      </c>
      <c r="B1096" s="1" t="s">
        <v>2126</v>
      </c>
      <c r="C1096" s="1" t="str">
        <f>"三次市十日市東4-5-7"</f>
        <v>三次市十日市東4-5-7</v>
      </c>
      <c r="D1096" s="1" t="s">
        <v>186</v>
      </c>
      <c r="E1096" s="3">
        <v>47087</v>
      </c>
      <c r="F1096" s="2"/>
    </row>
    <row r="1097" spans="1:6" ht="24.95" customHeight="1" x14ac:dyDescent="0.4">
      <c r="A1097" s="2" t="s">
        <v>1793</v>
      </c>
      <c r="B1097" s="1" t="s">
        <v>528</v>
      </c>
      <c r="C1097" s="1" t="str">
        <f>"三次市十日市南5-9-45"</f>
        <v>三次市十日市南5-9-45</v>
      </c>
      <c r="D1097" s="1" t="s">
        <v>30</v>
      </c>
      <c r="E1097" s="3">
        <v>47087</v>
      </c>
      <c r="F1097" s="2"/>
    </row>
    <row r="1098" spans="1:6" ht="24.95" customHeight="1" x14ac:dyDescent="0.4">
      <c r="A1098" s="2" t="s">
        <v>1719</v>
      </c>
      <c r="B1098" s="1" t="s">
        <v>1194</v>
      </c>
      <c r="C1098" s="1" t="s">
        <v>1716</v>
      </c>
      <c r="D1098" s="1" t="s">
        <v>88</v>
      </c>
      <c r="E1098" s="3">
        <v>47087</v>
      </c>
      <c r="F1098" s="2"/>
    </row>
    <row r="1099" spans="1:6" ht="24.95" customHeight="1" x14ac:dyDescent="0.4">
      <c r="A1099" s="2" t="s">
        <v>1753</v>
      </c>
      <c r="B1099" s="1" t="s">
        <v>1194</v>
      </c>
      <c r="C1099" s="1" t="s">
        <v>1716</v>
      </c>
      <c r="D1099" s="1" t="s">
        <v>531</v>
      </c>
      <c r="E1099" s="3">
        <v>47087</v>
      </c>
      <c r="F1099" s="2"/>
    </row>
    <row r="1100" spans="1:6" ht="24.95" customHeight="1" x14ac:dyDescent="0.4">
      <c r="A1100" s="2" t="s">
        <v>1978</v>
      </c>
      <c r="B1100" s="1" t="s">
        <v>1194</v>
      </c>
      <c r="C1100" s="1" t="s">
        <v>1716</v>
      </c>
      <c r="D1100" s="1" t="s">
        <v>179</v>
      </c>
      <c r="E1100" s="3">
        <v>47087</v>
      </c>
      <c r="F1100" s="2"/>
    </row>
    <row r="1101" spans="1:6" ht="24.95" customHeight="1" x14ac:dyDescent="0.4">
      <c r="A1101" s="2" t="s">
        <v>1979</v>
      </c>
      <c r="B1101" s="1" t="s">
        <v>1194</v>
      </c>
      <c r="C1101" s="1" t="s">
        <v>1716</v>
      </c>
      <c r="D1101" s="1" t="s">
        <v>220</v>
      </c>
      <c r="E1101" s="3">
        <v>47087</v>
      </c>
      <c r="F1101" s="2"/>
    </row>
    <row r="1102" spans="1:6" ht="24.95" customHeight="1" x14ac:dyDescent="0.4">
      <c r="A1102" s="2" t="s">
        <v>1985</v>
      </c>
      <c r="B1102" s="1" t="s">
        <v>1194</v>
      </c>
      <c r="C1102" s="1" t="s">
        <v>1716</v>
      </c>
      <c r="D1102" s="1" t="s">
        <v>240</v>
      </c>
      <c r="E1102" s="3">
        <v>47087</v>
      </c>
      <c r="F1102" s="2"/>
    </row>
    <row r="1103" spans="1:6" ht="24.95" customHeight="1" x14ac:dyDescent="0.4">
      <c r="A1103" s="2" t="s">
        <v>1986</v>
      </c>
      <c r="B1103" s="1" t="s">
        <v>1194</v>
      </c>
      <c r="C1103" s="1" t="s">
        <v>1716</v>
      </c>
      <c r="D1103" s="1" t="s">
        <v>950</v>
      </c>
      <c r="E1103" s="3">
        <v>47087</v>
      </c>
      <c r="F1103" s="2"/>
    </row>
    <row r="1104" spans="1:6" ht="24.95" customHeight="1" x14ac:dyDescent="0.4">
      <c r="A1104" s="2" t="s">
        <v>1061</v>
      </c>
      <c r="B1104" s="1" t="s">
        <v>1194</v>
      </c>
      <c r="C1104" s="1" t="s">
        <v>1716</v>
      </c>
      <c r="D1104" s="1" t="s">
        <v>531</v>
      </c>
      <c r="E1104" s="3">
        <v>47087</v>
      </c>
      <c r="F1104" s="2"/>
    </row>
    <row r="1105" spans="1:6" ht="24.95" customHeight="1" x14ac:dyDescent="0.4">
      <c r="A1105" s="2" t="s">
        <v>722</v>
      </c>
      <c r="B1105" s="1" t="s">
        <v>1194</v>
      </c>
      <c r="C1105" s="1" t="s">
        <v>1716</v>
      </c>
      <c r="D1105" s="1" t="s">
        <v>88</v>
      </c>
      <c r="E1105" s="3">
        <v>47087</v>
      </c>
      <c r="F1105" s="2"/>
    </row>
    <row r="1106" spans="1:6" ht="24.95" customHeight="1" x14ac:dyDescent="0.4">
      <c r="A1106" s="2" t="s">
        <v>1994</v>
      </c>
      <c r="B1106" s="1" t="s">
        <v>1194</v>
      </c>
      <c r="C1106" s="1" t="s">
        <v>1716</v>
      </c>
      <c r="D1106" s="1" t="s">
        <v>1702</v>
      </c>
      <c r="E1106" s="3">
        <v>47087</v>
      </c>
      <c r="F1106" s="2"/>
    </row>
    <row r="1107" spans="1:6" ht="24.95" customHeight="1" x14ac:dyDescent="0.4">
      <c r="A1107" s="2" t="s">
        <v>997</v>
      </c>
      <c r="B1107" s="1" t="s">
        <v>1194</v>
      </c>
      <c r="C1107" s="1" t="s">
        <v>1716</v>
      </c>
      <c r="D1107" s="1" t="s">
        <v>122</v>
      </c>
      <c r="E1107" s="3">
        <v>47087</v>
      </c>
      <c r="F1107" s="2"/>
    </row>
    <row r="1108" spans="1:6" ht="24.95" customHeight="1" x14ac:dyDescent="0.4">
      <c r="A1108" s="2" t="s">
        <v>2095</v>
      </c>
      <c r="B1108" s="1" t="s">
        <v>1194</v>
      </c>
      <c r="C1108" s="1" t="s">
        <v>1716</v>
      </c>
      <c r="D1108" s="1" t="s">
        <v>1027</v>
      </c>
      <c r="E1108" s="3">
        <v>47087</v>
      </c>
      <c r="F1108" s="2"/>
    </row>
    <row r="1109" spans="1:6" ht="24.95" customHeight="1" x14ac:dyDescent="0.4">
      <c r="A1109" s="2" t="s">
        <v>1738</v>
      </c>
      <c r="B1109" s="1" t="s">
        <v>1194</v>
      </c>
      <c r="C1109" s="1" t="s">
        <v>1716</v>
      </c>
      <c r="D1109" s="1" t="s">
        <v>30</v>
      </c>
      <c r="E1109" s="3">
        <v>45991</v>
      </c>
      <c r="F1109" s="2"/>
    </row>
    <row r="1110" spans="1:6" ht="24.95" customHeight="1" x14ac:dyDescent="0.4">
      <c r="A1110" s="2" t="s">
        <v>2246</v>
      </c>
      <c r="B1110" s="1" t="s">
        <v>1194</v>
      </c>
      <c r="C1110" s="1" t="s">
        <v>1716</v>
      </c>
      <c r="D1110" s="1" t="s">
        <v>576</v>
      </c>
      <c r="E1110" s="3">
        <v>46356</v>
      </c>
      <c r="F1110" s="2"/>
    </row>
    <row r="1111" spans="1:6" ht="24.95" customHeight="1" x14ac:dyDescent="0.4">
      <c r="A1111" s="2" t="s">
        <v>2247</v>
      </c>
      <c r="B1111" s="1" t="s">
        <v>1194</v>
      </c>
      <c r="C1111" s="1" t="s">
        <v>1716</v>
      </c>
      <c r="D1111" s="1" t="s">
        <v>576</v>
      </c>
      <c r="E1111" s="3">
        <v>46356</v>
      </c>
      <c r="F1111" s="2"/>
    </row>
    <row r="1112" spans="1:6" ht="24.95" customHeight="1" x14ac:dyDescent="0.4">
      <c r="A1112" s="2" t="s">
        <v>2255</v>
      </c>
      <c r="B1112" s="1" t="s">
        <v>1194</v>
      </c>
      <c r="C1112" s="1" t="s">
        <v>1716</v>
      </c>
      <c r="D1112" s="1" t="s">
        <v>104</v>
      </c>
      <c r="E1112" s="3">
        <v>46356</v>
      </c>
      <c r="F1112" s="2"/>
    </row>
    <row r="1113" spans="1:6" ht="24.95" customHeight="1" x14ac:dyDescent="0.4">
      <c r="A1113" s="2" t="s">
        <v>1206</v>
      </c>
      <c r="B1113" s="1" t="s">
        <v>1194</v>
      </c>
      <c r="C1113" s="1" t="s">
        <v>1716</v>
      </c>
      <c r="D1113" s="1" t="s">
        <v>30</v>
      </c>
      <c r="E1113" s="3">
        <v>47087</v>
      </c>
      <c r="F1113" s="2"/>
    </row>
    <row r="1114" spans="1:6" ht="24.95" customHeight="1" x14ac:dyDescent="0.4">
      <c r="A1114" s="2" t="s">
        <v>2344</v>
      </c>
      <c r="B1114" s="1" t="s">
        <v>1194</v>
      </c>
      <c r="C1114" s="1" t="s">
        <v>1716</v>
      </c>
      <c r="D1114" s="1" t="s">
        <v>67</v>
      </c>
      <c r="E1114" s="3">
        <v>47087</v>
      </c>
      <c r="F1114" s="2"/>
    </row>
    <row r="1115" spans="1:6" ht="24.95" customHeight="1" x14ac:dyDescent="0.4">
      <c r="A1115" s="2" t="s">
        <v>81</v>
      </c>
      <c r="B1115" s="1" t="s">
        <v>1194</v>
      </c>
      <c r="C1115" s="1" t="s">
        <v>1716</v>
      </c>
      <c r="D1115" s="1" t="s">
        <v>67</v>
      </c>
      <c r="E1115" s="3">
        <v>45991</v>
      </c>
      <c r="F1115" s="2"/>
    </row>
    <row r="1116" spans="1:6" ht="24.95" customHeight="1" x14ac:dyDescent="0.4">
      <c r="A1116" s="2" t="s">
        <v>2422</v>
      </c>
      <c r="B1116" s="1" t="s">
        <v>1194</v>
      </c>
      <c r="C1116" s="1" t="s">
        <v>1716</v>
      </c>
      <c r="D1116" s="1" t="s">
        <v>179</v>
      </c>
      <c r="E1116" s="3">
        <v>45991</v>
      </c>
      <c r="F1116" s="2"/>
    </row>
    <row r="1117" spans="1:6" ht="24.95" customHeight="1" x14ac:dyDescent="0.4">
      <c r="A1117" s="2" t="s">
        <v>2425</v>
      </c>
      <c r="B1117" s="1" t="s">
        <v>1194</v>
      </c>
      <c r="C1117" s="1" t="s">
        <v>1716</v>
      </c>
      <c r="D1117" s="1" t="s">
        <v>104</v>
      </c>
      <c r="E1117" s="3">
        <v>45991</v>
      </c>
      <c r="F1117" s="2"/>
    </row>
    <row r="1118" spans="1:6" ht="24.95" customHeight="1" x14ac:dyDescent="0.4">
      <c r="A1118" s="2" t="s">
        <v>2426</v>
      </c>
      <c r="B1118" s="1" t="s">
        <v>1194</v>
      </c>
      <c r="C1118" s="1" t="s">
        <v>1716</v>
      </c>
      <c r="D1118" s="1" t="s">
        <v>324</v>
      </c>
      <c r="E1118" s="3">
        <v>45991</v>
      </c>
      <c r="F1118" s="2"/>
    </row>
    <row r="1119" spans="1:6" ht="24.95" customHeight="1" x14ac:dyDescent="0.4">
      <c r="A1119" s="2" t="s">
        <v>2428</v>
      </c>
      <c r="B1119" s="1" t="s">
        <v>1194</v>
      </c>
      <c r="C1119" s="1" t="s">
        <v>1716</v>
      </c>
      <c r="D1119" s="1" t="s">
        <v>1987</v>
      </c>
      <c r="E1119" s="3">
        <v>45991</v>
      </c>
      <c r="F1119" s="2"/>
    </row>
    <row r="1120" spans="1:6" ht="24.95" customHeight="1" x14ac:dyDescent="0.4">
      <c r="A1120" s="2" t="s">
        <v>1266</v>
      </c>
      <c r="B1120" s="1" t="s">
        <v>1194</v>
      </c>
      <c r="C1120" s="1" t="s">
        <v>1716</v>
      </c>
      <c r="D1120" s="1" t="s">
        <v>324</v>
      </c>
      <c r="E1120" s="3">
        <v>46356</v>
      </c>
      <c r="F1120" s="2"/>
    </row>
    <row r="1121" spans="1:6" ht="24.95" customHeight="1" x14ac:dyDescent="0.4">
      <c r="A1121" s="2" t="s">
        <v>716</v>
      </c>
      <c r="B1121" s="1" t="s">
        <v>1194</v>
      </c>
      <c r="C1121" s="1" t="s">
        <v>1716</v>
      </c>
      <c r="D1121" s="1" t="s">
        <v>122</v>
      </c>
      <c r="E1121" s="3">
        <v>46721</v>
      </c>
      <c r="F1121" s="2"/>
    </row>
    <row r="1122" spans="1:6" ht="24.95" customHeight="1" x14ac:dyDescent="0.4">
      <c r="A1122" s="2" t="s">
        <v>2213</v>
      </c>
      <c r="B1122" s="1" t="s">
        <v>1194</v>
      </c>
      <c r="C1122" s="1" t="s">
        <v>1716</v>
      </c>
      <c r="D1122" s="1" t="s">
        <v>324</v>
      </c>
      <c r="E1122" s="3">
        <v>46721</v>
      </c>
      <c r="F1122" s="2"/>
    </row>
    <row r="1123" spans="1:6" ht="24.95" customHeight="1" x14ac:dyDescent="0.4">
      <c r="A1123" s="2" t="s">
        <v>2002</v>
      </c>
      <c r="B1123" s="1" t="s">
        <v>1194</v>
      </c>
      <c r="C1123" s="1" t="s">
        <v>1716</v>
      </c>
      <c r="D1123" s="1" t="s">
        <v>139</v>
      </c>
      <c r="E1123" s="3">
        <v>46721</v>
      </c>
      <c r="F1123" s="2"/>
    </row>
    <row r="1124" spans="1:6" ht="24.95" customHeight="1" x14ac:dyDescent="0.4">
      <c r="A1124" s="2" t="s">
        <v>2497</v>
      </c>
      <c r="B1124" s="1" t="s">
        <v>1194</v>
      </c>
      <c r="C1124" s="1" t="s">
        <v>1716</v>
      </c>
      <c r="D1124" s="1" t="s">
        <v>104</v>
      </c>
      <c r="E1124" s="3">
        <v>46721</v>
      </c>
      <c r="F1124" s="2"/>
    </row>
    <row r="1125" spans="1:6" ht="24.95" customHeight="1" x14ac:dyDescent="0.4">
      <c r="A1125" s="2" t="s">
        <v>709</v>
      </c>
      <c r="B1125" s="1" t="s">
        <v>1194</v>
      </c>
      <c r="C1125" s="1" t="s">
        <v>1716</v>
      </c>
      <c r="D1125" s="1" t="s">
        <v>88</v>
      </c>
      <c r="E1125" s="3">
        <v>46721</v>
      </c>
      <c r="F1125" s="2"/>
    </row>
    <row r="1126" spans="1:6" ht="24.95" customHeight="1" x14ac:dyDescent="0.4">
      <c r="A1126" s="2" t="s">
        <v>2520</v>
      </c>
      <c r="B1126" s="1" t="s">
        <v>1194</v>
      </c>
      <c r="C1126" s="1" t="s">
        <v>1716</v>
      </c>
      <c r="D1126" s="1" t="s">
        <v>104</v>
      </c>
      <c r="E1126" s="3">
        <v>47087</v>
      </c>
      <c r="F1126" s="2"/>
    </row>
    <row r="1127" spans="1:6" ht="24.95" customHeight="1" x14ac:dyDescent="0.4">
      <c r="A1127" s="2" t="s">
        <v>2527</v>
      </c>
      <c r="B1127" s="1" t="s">
        <v>1194</v>
      </c>
      <c r="C1127" s="1" t="s">
        <v>1716</v>
      </c>
      <c r="D1127" s="1" t="s">
        <v>240</v>
      </c>
      <c r="E1127" s="3">
        <v>47087</v>
      </c>
      <c r="F1127" s="2"/>
    </row>
    <row r="1128" spans="1:6" ht="24.95" customHeight="1" x14ac:dyDescent="0.4">
      <c r="A1128" s="2" t="s">
        <v>2594</v>
      </c>
      <c r="B1128" s="1" t="s">
        <v>1194</v>
      </c>
      <c r="C1128" s="1" t="s">
        <v>1716</v>
      </c>
      <c r="D1128" s="1" t="s">
        <v>796</v>
      </c>
      <c r="E1128" s="3">
        <v>47087</v>
      </c>
      <c r="F1128" s="2"/>
    </row>
    <row r="1129" spans="1:6" ht="24.95" customHeight="1" x14ac:dyDescent="0.4">
      <c r="A1129" s="2" t="s">
        <v>97</v>
      </c>
      <c r="B1129" s="1" t="s">
        <v>1194</v>
      </c>
      <c r="C1129" s="1" t="s">
        <v>1716</v>
      </c>
      <c r="D1129" s="1" t="s">
        <v>139</v>
      </c>
      <c r="E1129" s="3">
        <v>45626</v>
      </c>
      <c r="F1129" s="2"/>
    </row>
    <row r="1130" spans="1:6" ht="24.95" customHeight="1" x14ac:dyDescent="0.4">
      <c r="A1130" s="2" t="s">
        <v>2765</v>
      </c>
      <c r="B1130" s="1" t="s">
        <v>1194</v>
      </c>
      <c r="C1130" s="1" t="s">
        <v>1716</v>
      </c>
      <c r="D1130" s="1" t="s">
        <v>67</v>
      </c>
      <c r="E1130" s="3">
        <v>46356</v>
      </c>
      <c r="F1130" s="2"/>
    </row>
    <row r="1131" spans="1:6" ht="24.95" customHeight="1" x14ac:dyDescent="0.4">
      <c r="A1131" s="2" t="s">
        <v>2062</v>
      </c>
      <c r="B1131" s="1" t="s">
        <v>1194</v>
      </c>
      <c r="C1131" s="1" t="s">
        <v>1716</v>
      </c>
      <c r="D1131" s="1" t="s">
        <v>869</v>
      </c>
      <c r="E1131" s="3">
        <v>47087</v>
      </c>
      <c r="F1131" s="2"/>
    </row>
    <row r="1132" spans="1:6" ht="24.95" customHeight="1" x14ac:dyDescent="0.4">
      <c r="A1132" s="2" t="s">
        <v>1901</v>
      </c>
      <c r="B1132" s="1" t="s">
        <v>1902</v>
      </c>
      <c r="C1132" s="1" t="str">
        <f>"三次市南畑敷町227-1"</f>
        <v>三次市南畑敷町227-1</v>
      </c>
      <c r="D1132" s="1" t="s">
        <v>30</v>
      </c>
      <c r="E1132" s="3">
        <v>47087</v>
      </c>
      <c r="F1132" s="2"/>
    </row>
    <row r="1133" spans="1:6" ht="24.95" customHeight="1" x14ac:dyDescent="0.4">
      <c r="A1133" s="2" t="s">
        <v>676</v>
      </c>
      <c r="B1133" s="1" t="s">
        <v>2181</v>
      </c>
      <c r="C1133" s="1" t="str">
        <f>"三次市南畑敷町330-1"</f>
        <v>三次市南畑敷町330-1</v>
      </c>
      <c r="D1133" s="1" t="s">
        <v>503</v>
      </c>
      <c r="E1133" s="3">
        <v>47087</v>
      </c>
      <c r="F1133" s="2"/>
    </row>
    <row r="1134" spans="1:6" ht="24.95" customHeight="1" x14ac:dyDescent="0.4">
      <c r="A1134" s="2" t="s">
        <v>671</v>
      </c>
      <c r="B1134" s="1" t="s">
        <v>456</v>
      </c>
      <c r="C1134" s="1" t="str">
        <f>"三次市南畑敷町77-1"</f>
        <v>三次市南畑敷町77-1</v>
      </c>
      <c r="D1134" s="1" t="s">
        <v>139</v>
      </c>
      <c r="E1134" s="3">
        <v>47087</v>
      </c>
      <c r="F1134" s="2"/>
    </row>
    <row r="1135" spans="1:6" ht="24.95" customHeight="1" x14ac:dyDescent="0.4">
      <c r="A1135" s="2" t="s">
        <v>2712</v>
      </c>
      <c r="B1135" s="1" t="s">
        <v>1634</v>
      </c>
      <c r="C1135" s="1" t="str">
        <f>"庄原市口和町永田402-4"</f>
        <v>庄原市口和町永田402-4</v>
      </c>
      <c r="D1135" s="1" t="s">
        <v>1421</v>
      </c>
      <c r="E1135" s="3">
        <v>45991</v>
      </c>
      <c r="F1135" s="2"/>
    </row>
    <row r="1136" spans="1:6" ht="24.95" customHeight="1" x14ac:dyDescent="0.4">
      <c r="A1136" s="2" t="s">
        <v>1552</v>
      </c>
      <c r="B1136" s="1" t="s">
        <v>2332</v>
      </c>
      <c r="C1136" s="1" t="str">
        <f>"庄原市高野町新市1150-1"</f>
        <v>庄原市高野町新市1150-1</v>
      </c>
      <c r="D1136" s="1" t="s">
        <v>192</v>
      </c>
      <c r="E1136" s="3">
        <v>47087</v>
      </c>
      <c r="F1136" s="2"/>
    </row>
    <row r="1137" spans="1:6" ht="24.95" customHeight="1" x14ac:dyDescent="0.4">
      <c r="A1137" s="2" t="s">
        <v>1925</v>
      </c>
      <c r="B1137" s="1" t="s">
        <v>657</v>
      </c>
      <c r="C1137" s="1" t="s">
        <v>94</v>
      </c>
      <c r="D1137" s="1" t="s">
        <v>30</v>
      </c>
      <c r="E1137" s="3">
        <v>47087</v>
      </c>
      <c r="F1137" s="2"/>
    </row>
    <row r="1138" spans="1:6" ht="24.95" customHeight="1" x14ac:dyDescent="0.4">
      <c r="A1138" s="2" t="s">
        <v>1695</v>
      </c>
      <c r="B1138" s="1" t="s">
        <v>657</v>
      </c>
      <c r="C1138" s="1" t="s">
        <v>94</v>
      </c>
      <c r="D1138" s="1" t="s">
        <v>324</v>
      </c>
      <c r="E1138" s="3">
        <v>46356</v>
      </c>
      <c r="F1138" s="2"/>
    </row>
    <row r="1139" spans="1:6" ht="24.95" customHeight="1" x14ac:dyDescent="0.4">
      <c r="A1139" s="2" t="s">
        <v>1989</v>
      </c>
      <c r="B1139" s="1" t="s">
        <v>657</v>
      </c>
      <c r="C1139" s="1" t="s">
        <v>94</v>
      </c>
      <c r="D1139" s="1" t="s">
        <v>30</v>
      </c>
      <c r="E1139" s="3">
        <v>47087</v>
      </c>
      <c r="F1139" s="2"/>
    </row>
    <row r="1140" spans="1:6" ht="24.95" customHeight="1" x14ac:dyDescent="0.4">
      <c r="A1140" s="2" t="s">
        <v>979</v>
      </c>
      <c r="B1140" s="1" t="s">
        <v>980</v>
      </c>
      <c r="C1140" s="1" t="str">
        <f>"庄原市西本町2-15-31"</f>
        <v>庄原市西本町2-15-31</v>
      </c>
      <c r="D1140" s="1" t="s">
        <v>982</v>
      </c>
      <c r="E1140" s="3">
        <v>47087</v>
      </c>
      <c r="F1140" s="2"/>
    </row>
    <row r="1141" spans="1:6" ht="24.95" customHeight="1" x14ac:dyDescent="0.4">
      <c r="A1141" s="2" t="s">
        <v>1929</v>
      </c>
      <c r="B1141" s="1" t="s">
        <v>980</v>
      </c>
      <c r="C1141" s="1" t="str">
        <f>"庄原市西本町2-15-31"</f>
        <v>庄原市西本町2-15-31</v>
      </c>
      <c r="D1141" s="1" t="s">
        <v>962</v>
      </c>
      <c r="E1141" s="3">
        <v>47087</v>
      </c>
      <c r="F1141" s="2"/>
    </row>
    <row r="1142" spans="1:6" ht="24.95" customHeight="1" x14ac:dyDescent="0.4">
      <c r="A1142" s="2" t="s">
        <v>954</v>
      </c>
      <c r="B1142" s="1" t="s">
        <v>1430</v>
      </c>
      <c r="C1142" s="1" t="str">
        <f t="shared" ref="C1142:C1160" si="28">"庄原市西本町2-7-10"</f>
        <v>庄原市西本町2-7-10</v>
      </c>
      <c r="D1142" s="1" t="s">
        <v>30</v>
      </c>
      <c r="E1142" s="3">
        <v>47087</v>
      </c>
      <c r="F1142" s="2"/>
    </row>
    <row r="1143" spans="1:6" ht="24.95" customHeight="1" x14ac:dyDescent="0.4">
      <c r="A1143" s="2" t="s">
        <v>1431</v>
      </c>
      <c r="B1143" s="1" t="s">
        <v>1430</v>
      </c>
      <c r="C1143" s="1" t="str">
        <f t="shared" si="28"/>
        <v>庄原市西本町2-7-10</v>
      </c>
      <c r="D1143" s="1" t="s">
        <v>30</v>
      </c>
      <c r="E1143" s="3">
        <v>47087</v>
      </c>
      <c r="F1143" s="2"/>
    </row>
    <row r="1144" spans="1:6" ht="24.95" customHeight="1" x14ac:dyDescent="0.4">
      <c r="A1144" s="2" t="s">
        <v>1417</v>
      </c>
      <c r="B1144" s="1" t="s">
        <v>1430</v>
      </c>
      <c r="C1144" s="1" t="str">
        <f t="shared" si="28"/>
        <v>庄原市西本町2-7-10</v>
      </c>
      <c r="D1144" s="1" t="s">
        <v>30</v>
      </c>
      <c r="E1144" s="3">
        <v>47087</v>
      </c>
      <c r="F1144" s="2"/>
    </row>
    <row r="1145" spans="1:6" ht="24.95" customHeight="1" x14ac:dyDescent="0.4">
      <c r="A1145" s="2" t="s">
        <v>1298</v>
      </c>
      <c r="B1145" s="1" t="s">
        <v>1430</v>
      </c>
      <c r="C1145" s="1" t="str">
        <f t="shared" si="28"/>
        <v>庄原市西本町2-7-10</v>
      </c>
      <c r="D1145" s="1" t="s">
        <v>122</v>
      </c>
      <c r="E1145" s="3">
        <v>47087</v>
      </c>
      <c r="F1145" s="2"/>
    </row>
    <row r="1146" spans="1:6" ht="24.95" customHeight="1" x14ac:dyDescent="0.4">
      <c r="A1146" s="2" t="s">
        <v>1441</v>
      </c>
      <c r="B1146" s="1" t="s">
        <v>1430</v>
      </c>
      <c r="C1146" s="1" t="str">
        <f t="shared" si="28"/>
        <v>庄原市西本町2-7-10</v>
      </c>
      <c r="D1146" s="1" t="s">
        <v>531</v>
      </c>
      <c r="E1146" s="3">
        <v>47087</v>
      </c>
      <c r="F1146" s="2"/>
    </row>
    <row r="1147" spans="1:6" ht="24.95" customHeight="1" x14ac:dyDescent="0.4">
      <c r="A1147" s="2" t="s">
        <v>1443</v>
      </c>
      <c r="B1147" s="1" t="s">
        <v>1430</v>
      </c>
      <c r="C1147" s="1" t="str">
        <f t="shared" si="28"/>
        <v>庄原市西本町2-7-10</v>
      </c>
      <c r="D1147" s="1" t="s">
        <v>324</v>
      </c>
      <c r="E1147" s="3">
        <v>47087</v>
      </c>
      <c r="F1147" s="2"/>
    </row>
    <row r="1148" spans="1:6" ht="24.95" customHeight="1" x14ac:dyDescent="0.4">
      <c r="A1148" s="2" t="s">
        <v>1246</v>
      </c>
      <c r="B1148" s="1" t="s">
        <v>1430</v>
      </c>
      <c r="C1148" s="1" t="str">
        <f t="shared" si="28"/>
        <v>庄原市西本町2-7-10</v>
      </c>
      <c r="D1148" s="1" t="s">
        <v>88</v>
      </c>
      <c r="E1148" s="3">
        <v>47087</v>
      </c>
      <c r="F1148" s="2"/>
    </row>
    <row r="1149" spans="1:6" ht="24.95" customHeight="1" x14ac:dyDescent="0.4">
      <c r="A1149" s="2" t="s">
        <v>1834</v>
      </c>
      <c r="B1149" s="1" t="s">
        <v>1430</v>
      </c>
      <c r="C1149" s="1" t="str">
        <f t="shared" si="28"/>
        <v>庄原市西本町2-7-10</v>
      </c>
      <c r="D1149" s="1" t="s">
        <v>179</v>
      </c>
      <c r="E1149" s="3">
        <v>45626</v>
      </c>
      <c r="F1149" s="2"/>
    </row>
    <row r="1150" spans="1:6" ht="24.95" customHeight="1" x14ac:dyDescent="0.4">
      <c r="A1150" s="2" t="s">
        <v>1878</v>
      </c>
      <c r="B1150" s="1" t="s">
        <v>1430</v>
      </c>
      <c r="C1150" s="1" t="str">
        <f t="shared" si="28"/>
        <v>庄原市西本町2-7-10</v>
      </c>
      <c r="D1150" s="1" t="s">
        <v>67</v>
      </c>
      <c r="E1150" s="3">
        <v>47087</v>
      </c>
      <c r="F1150" s="2"/>
    </row>
    <row r="1151" spans="1:6" ht="24.95" customHeight="1" x14ac:dyDescent="0.4">
      <c r="A1151" s="2" t="s">
        <v>847</v>
      </c>
      <c r="B1151" s="1" t="s">
        <v>1430</v>
      </c>
      <c r="C1151" s="1" t="str">
        <f t="shared" si="28"/>
        <v>庄原市西本町2-7-10</v>
      </c>
      <c r="D1151" s="1" t="s">
        <v>30</v>
      </c>
      <c r="E1151" s="3">
        <v>47087</v>
      </c>
      <c r="F1151" s="2"/>
    </row>
    <row r="1152" spans="1:6" ht="24.95" customHeight="1" x14ac:dyDescent="0.4">
      <c r="A1152" s="2" t="s">
        <v>436</v>
      </c>
      <c r="B1152" s="1" t="s">
        <v>1430</v>
      </c>
      <c r="C1152" s="1" t="str">
        <f t="shared" si="28"/>
        <v>庄原市西本町2-7-10</v>
      </c>
      <c r="D1152" s="1" t="s">
        <v>1027</v>
      </c>
      <c r="E1152" s="3">
        <v>46356</v>
      </c>
      <c r="F1152" s="2"/>
    </row>
    <row r="1153" spans="1:6" ht="24.95" customHeight="1" x14ac:dyDescent="0.4">
      <c r="A1153" s="2" t="s">
        <v>2354</v>
      </c>
      <c r="B1153" s="1" t="s">
        <v>1430</v>
      </c>
      <c r="C1153" s="1" t="str">
        <f t="shared" si="28"/>
        <v>庄原市西本町2-7-10</v>
      </c>
      <c r="D1153" s="1" t="s">
        <v>240</v>
      </c>
      <c r="E1153" s="3">
        <v>45626</v>
      </c>
      <c r="F1153" s="2"/>
    </row>
    <row r="1154" spans="1:6" ht="24.95" customHeight="1" x14ac:dyDescent="0.4">
      <c r="A1154" s="2" t="s">
        <v>1797</v>
      </c>
      <c r="B1154" s="1" t="s">
        <v>1430</v>
      </c>
      <c r="C1154" s="1" t="str">
        <f t="shared" si="28"/>
        <v>庄原市西本町2-7-10</v>
      </c>
      <c r="D1154" s="1" t="s">
        <v>58</v>
      </c>
      <c r="E1154" s="3">
        <v>45626</v>
      </c>
      <c r="F1154" s="2"/>
    </row>
    <row r="1155" spans="1:6" ht="24.95" customHeight="1" x14ac:dyDescent="0.4">
      <c r="A1155" s="2" t="s">
        <v>2355</v>
      </c>
      <c r="B1155" s="1" t="s">
        <v>1430</v>
      </c>
      <c r="C1155" s="1" t="str">
        <f t="shared" si="28"/>
        <v>庄原市西本町2-7-10</v>
      </c>
      <c r="D1155" s="1" t="s">
        <v>324</v>
      </c>
      <c r="E1155" s="3">
        <v>45626</v>
      </c>
      <c r="F1155" s="2"/>
    </row>
    <row r="1156" spans="1:6" ht="24.95" customHeight="1" x14ac:dyDescent="0.4">
      <c r="A1156" s="2" t="s">
        <v>2378</v>
      </c>
      <c r="B1156" s="1" t="s">
        <v>1430</v>
      </c>
      <c r="C1156" s="1" t="str">
        <f t="shared" si="28"/>
        <v>庄原市西本町2-7-10</v>
      </c>
      <c r="D1156" s="1" t="s">
        <v>324</v>
      </c>
      <c r="E1156" s="3">
        <v>45626</v>
      </c>
      <c r="F1156" s="2"/>
    </row>
    <row r="1157" spans="1:6" ht="24.95" customHeight="1" x14ac:dyDescent="0.4">
      <c r="A1157" s="2" t="s">
        <v>1510</v>
      </c>
      <c r="B1157" s="1" t="s">
        <v>1430</v>
      </c>
      <c r="C1157" s="1" t="str">
        <f t="shared" si="28"/>
        <v>庄原市西本町2-7-10</v>
      </c>
      <c r="D1157" s="1" t="s">
        <v>58</v>
      </c>
      <c r="E1157" s="3">
        <v>45991</v>
      </c>
      <c r="F1157" s="2"/>
    </row>
    <row r="1158" spans="1:6" ht="24.95" customHeight="1" x14ac:dyDescent="0.4">
      <c r="A1158" s="2" t="s">
        <v>2438</v>
      </c>
      <c r="B1158" s="1" t="s">
        <v>1430</v>
      </c>
      <c r="C1158" s="1" t="str">
        <f t="shared" si="28"/>
        <v>庄原市西本町2-7-10</v>
      </c>
      <c r="D1158" s="1" t="s">
        <v>576</v>
      </c>
      <c r="E1158" s="3">
        <v>46356</v>
      </c>
      <c r="F1158" s="2"/>
    </row>
    <row r="1159" spans="1:6" ht="24.95" customHeight="1" x14ac:dyDescent="0.4">
      <c r="A1159" s="2" t="s">
        <v>330</v>
      </c>
      <c r="B1159" s="1" t="s">
        <v>1430</v>
      </c>
      <c r="C1159" s="1" t="str">
        <f t="shared" si="28"/>
        <v>庄原市西本町2-7-10</v>
      </c>
      <c r="D1159" s="1" t="s">
        <v>344</v>
      </c>
      <c r="E1159" s="3">
        <v>46356</v>
      </c>
      <c r="F1159" s="2"/>
    </row>
    <row r="1160" spans="1:6" ht="24.95" customHeight="1" x14ac:dyDescent="0.4">
      <c r="A1160" s="2" t="s">
        <v>2495</v>
      </c>
      <c r="B1160" s="1" t="s">
        <v>1430</v>
      </c>
      <c r="C1160" s="1" t="str">
        <f t="shared" si="28"/>
        <v>庄原市西本町2-7-10</v>
      </c>
      <c r="D1160" s="1" t="s">
        <v>324</v>
      </c>
      <c r="E1160" s="3">
        <v>46721</v>
      </c>
      <c r="F1160" s="2"/>
    </row>
    <row r="1161" spans="1:6" ht="24.95" customHeight="1" x14ac:dyDescent="0.4">
      <c r="A1161" s="2" t="s">
        <v>2547</v>
      </c>
      <c r="B1161" s="1" t="s">
        <v>2548</v>
      </c>
      <c r="C1161" s="1" t="str">
        <f>"庄原市川北町158-2"</f>
        <v>庄原市川北町158-2</v>
      </c>
      <c r="D1161" s="1" t="s">
        <v>192</v>
      </c>
      <c r="E1161" s="3">
        <v>47087</v>
      </c>
      <c r="F1161" s="2"/>
    </row>
    <row r="1162" spans="1:6" ht="24.95" customHeight="1" x14ac:dyDescent="0.4">
      <c r="A1162" s="2" t="s">
        <v>2565</v>
      </c>
      <c r="B1162" s="1" t="s">
        <v>2564</v>
      </c>
      <c r="C1162" s="1" t="str">
        <f>"庄原市川北町久井田890-1"</f>
        <v>庄原市川北町久井田890-1</v>
      </c>
      <c r="D1162" s="1" t="s">
        <v>30</v>
      </c>
      <c r="E1162" s="3">
        <v>47087</v>
      </c>
      <c r="F1162" s="2"/>
    </row>
    <row r="1163" spans="1:6" ht="24.95" customHeight="1" x14ac:dyDescent="0.4">
      <c r="A1163" s="2" t="s">
        <v>2768</v>
      </c>
      <c r="B1163" s="1" t="s">
        <v>2564</v>
      </c>
      <c r="C1163" s="1" t="str">
        <f>"庄原市川北町久井田890-1"</f>
        <v>庄原市川北町久井田890-1</v>
      </c>
      <c r="D1163" s="1" t="s">
        <v>30</v>
      </c>
      <c r="E1163" s="3">
        <v>46721</v>
      </c>
      <c r="F1163" s="2"/>
    </row>
    <row r="1164" spans="1:6" ht="24.95" customHeight="1" x14ac:dyDescent="0.4">
      <c r="A1164" s="2" t="s">
        <v>2769</v>
      </c>
      <c r="B1164" s="1" t="s">
        <v>1128</v>
      </c>
      <c r="C1164" s="1" t="s">
        <v>2322</v>
      </c>
      <c r="D1164" s="1" t="s">
        <v>30</v>
      </c>
      <c r="E1164" s="3">
        <v>46721</v>
      </c>
      <c r="F1164" s="2"/>
    </row>
    <row r="1165" spans="1:6" ht="24.95" customHeight="1" x14ac:dyDescent="0.4">
      <c r="A1165" s="2" t="s">
        <v>895</v>
      </c>
      <c r="B1165" s="1" t="s">
        <v>896</v>
      </c>
      <c r="C1165" s="1" t="str">
        <f>"庄原市中本町1-7-5"</f>
        <v>庄原市中本町1-7-5</v>
      </c>
      <c r="D1165" s="1" t="s">
        <v>897</v>
      </c>
      <c r="E1165" s="3">
        <v>47087</v>
      </c>
      <c r="F1165" s="2"/>
    </row>
    <row r="1166" spans="1:6" ht="24.95" customHeight="1" x14ac:dyDescent="0.4">
      <c r="A1166" s="2" t="s">
        <v>965</v>
      </c>
      <c r="B1166" s="1" t="s">
        <v>762</v>
      </c>
      <c r="C1166" s="1" t="str">
        <f>"庄原市東城町川東1463-1"</f>
        <v>庄原市東城町川東1463-1</v>
      </c>
      <c r="D1166" s="1" t="s">
        <v>966</v>
      </c>
      <c r="E1166" s="3">
        <v>47087</v>
      </c>
      <c r="F1166" s="2"/>
    </row>
    <row r="1167" spans="1:6" ht="24.95" customHeight="1" x14ac:dyDescent="0.4">
      <c r="A1167" s="2" t="s">
        <v>2579</v>
      </c>
      <c r="B1167" s="1" t="s">
        <v>1742</v>
      </c>
      <c r="C1167" s="1" t="str">
        <f>"庄原市東城町川東152-4"</f>
        <v>庄原市東城町川東152-4</v>
      </c>
      <c r="D1167" s="1" t="s">
        <v>903</v>
      </c>
      <c r="E1167" s="3">
        <v>46356</v>
      </c>
      <c r="F1167" s="2"/>
    </row>
    <row r="1168" spans="1:6" ht="24.95" customHeight="1" x14ac:dyDescent="0.4">
      <c r="A1168" s="2" t="s">
        <v>1106</v>
      </c>
      <c r="B1168" s="1" t="s">
        <v>443</v>
      </c>
      <c r="C1168" s="1" t="str">
        <f>"庄原市東城町川東163-7"</f>
        <v>庄原市東城町川東163-7</v>
      </c>
      <c r="D1168" s="1" t="s">
        <v>30</v>
      </c>
      <c r="E1168" s="3">
        <v>47087</v>
      </c>
      <c r="F1168" s="2"/>
    </row>
    <row r="1169" spans="1:6" ht="24.95" customHeight="1" x14ac:dyDescent="0.4">
      <c r="A1169" s="2" t="s">
        <v>2623</v>
      </c>
      <c r="B1169" s="1" t="s">
        <v>953</v>
      </c>
      <c r="C1169" s="1" t="str">
        <f>"庄原市東本町1-1-12"</f>
        <v>庄原市東本町1-1-12</v>
      </c>
      <c r="D1169" s="1" t="s">
        <v>1143</v>
      </c>
      <c r="E1169" s="3">
        <v>45991</v>
      </c>
      <c r="F1169" s="2"/>
    </row>
    <row r="1170" spans="1:6" ht="24.95" customHeight="1" x14ac:dyDescent="0.4">
      <c r="A1170" s="2" t="s">
        <v>760</v>
      </c>
      <c r="B1170" s="1" t="s">
        <v>763</v>
      </c>
      <c r="C1170" s="1" t="str">
        <f>"庄原市板橋町164-4"</f>
        <v>庄原市板橋町164-4</v>
      </c>
      <c r="D1170" s="1" t="s">
        <v>30</v>
      </c>
      <c r="E1170" s="3">
        <v>47087</v>
      </c>
      <c r="F1170" s="2"/>
    </row>
    <row r="1171" spans="1:6" ht="24.95" customHeight="1" x14ac:dyDescent="0.4">
      <c r="A1171" s="2" t="s">
        <v>882</v>
      </c>
      <c r="B1171" s="1" t="s">
        <v>245</v>
      </c>
      <c r="C1171" s="1" t="str">
        <f>"庄原市板橋町165-6"</f>
        <v>庄原市板橋町165-6</v>
      </c>
      <c r="D1171" s="1" t="s">
        <v>139</v>
      </c>
      <c r="E1171" s="3">
        <v>47087</v>
      </c>
      <c r="F1171" s="2"/>
    </row>
    <row r="1172" spans="1:6" ht="24.95" customHeight="1" x14ac:dyDescent="0.4">
      <c r="A1172" s="2" t="s">
        <v>290</v>
      </c>
      <c r="B1172" s="1" t="s">
        <v>1182</v>
      </c>
      <c r="C1172" s="1" t="str">
        <f t="shared" ref="C1172:C1209" si="29">"大竹市玖波4-1-1"</f>
        <v>大竹市玖波4-1-1</v>
      </c>
      <c r="D1172" s="1" t="s">
        <v>700</v>
      </c>
      <c r="E1172" s="3">
        <v>47087</v>
      </c>
      <c r="F1172" s="2"/>
    </row>
    <row r="1173" spans="1:6" ht="24.95" customHeight="1" x14ac:dyDescent="0.4">
      <c r="A1173" s="2" t="s">
        <v>1183</v>
      </c>
      <c r="B1173" s="1" t="s">
        <v>1182</v>
      </c>
      <c r="C1173" s="1" t="str">
        <f t="shared" si="29"/>
        <v>大竹市玖波4-1-1</v>
      </c>
      <c r="D1173" s="1" t="s">
        <v>700</v>
      </c>
      <c r="E1173" s="3">
        <v>47087</v>
      </c>
      <c r="F1173" s="2"/>
    </row>
    <row r="1174" spans="1:6" ht="24.95" customHeight="1" x14ac:dyDescent="0.4">
      <c r="A1174" s="2" t="s">
        <v>1184</v>
      </c>
      <c r="B1174" s="1" t="s">
        <v>1182</v>
      </c>
      <c r="C1174" s="1" t="str">
        <f t="shared" si="29"/>
        <v>大竹市玖波4-1-1</v>
      </c>
      <c r="D1174" s="1" t="s">
        <v>324</v>
      </c>
      <c r="E1174" s="3">
        <v>47087</v>
      </c>
      <c r="F1174" s="2"/>
    </row>
    <row r="1175" spans="1:6" ht="24.95" customHeight="1" x14ac:dyDescent="0.4">
      <c r="A1175" s="2" t="s">
        <v>1186</v>
      </c>
      <c r="B1175" s="1" t="s">
        <v>1182</v>
      </c>
      <c r="C1175" s="1" t="str">
        <f t="shared" si="29"/>
        <v>大竹市玖波4-1-1</v>
      </c>
      <c r="D1175" s="1" t="s">
        <v>30</v>
      </c>
      <c r="E1175" s="3">
        <v>47087</v>
      </c>
      <c r="F1175" s="2"/>
    </row>
    <row r="1176" spans="1:6" ht="24.95" customHeight="1" x14ac:dyDescent="0.4">
      <c r="A1176" s="2" t="s">
        <v>1187</v>
      </c>
      <c r="B1176" s="1" t="s">
        <v>1182</v>
      </c>
      <c r="C1176" s="1" t="str">
        <f t="shared" si="29"/>
        <v>大竹市玖波4-1-1</v>
      </c>
      <c r="D1176" s="1" t="s">
        <v>576</v>
      </c>
      <c r="E1176" s="3">
        <v>47087</v>
      </c>
      <c r="F1176" s="2"/>
    </row>
    <row r="1177" spans="1:6" ht="24.95" customHeight="1" x14ac:dyDescent="0.4">
      <c r="A1177" s="2" t="s">
        <v>343</v>
      </c>
      <c r="B1177" s="1" t="s">
        <v>1182</v>
      </c>
      <c r="C1177" s="1" t="str">
        <f t="shared" si="29"/>
        <v>大竹市玖波4-1-1</v>
      </c>
      <c r="D1177" s="1" t="s">
        <v>58</v>
      </c>
      <c r="E1177" s="3">
        <v>47087</v>
      </c>
      <c r="F1177" s="2"/>
    </row>
    <row r="1178" spans="1:6" ht="24.95" customHeight="1" x14ac:dyDescent="0.4">
      <c r="A1178" s="2" t="s">
        <v>637</v>
      </c>
      <c r="B1178" s="1" t="s">
        <v>1182</v>
      </c>
      <c r="C1178" s="1" t="str">
        <f t="shared" si="29"/>
        <v>大竹市玖波4-1-1</v>
      </c>
      <c r="D1178" s="1" t="s">
        <v>179</v>
      </c>
      <c r="E1178" s="3">
        <v>47087</v>
      </c>
      <c r="F1178" s="2"/>
    </row>
    <row r="1179" spans="1:6" ht="24.95" customHeight="1" x14ac:dyDescent="0.4">
      <c r="A1179" s="2" t="s">
        <v>1191</v>
      </c>
      <c r="B1179" s="1" t="s">
        <v>1182</v>
      </c>
      <c r="C1179" s="1" t="str">
        <f t="shared" si="29"/>
        <v>大竹市玖波4-1-1</v>
      </c>
      <c r="D1179" s="1" t="s">
        <v>796</v>
      </c>
      <c r="E1179" s="3">
        <v>47087</v>
      </c>
      <c r="F1179" s="2"/>
    </row>
    <row r="1180" spans="1:6" ht="24.95" customHeight="1" x14ac:dyDescent="0.4">
      <c r="A1180" s="2" t="s">
        <v>329</v>
      </c>
      <c r="B1180" s="1" t="s">
        <v>1182</v>
      </c>
      <c r="C1180" s="1" t="str">
        <f t="shared" si="29"/>
        <v>大竹市玖波4-1-1</v>
      </c>
      <c r="D1180" s="1" t="s">
        <v>324</v>
      </c>
      <c r="E1180" s="3">
        <v>47087</v>
      </c>
      <c r="F1180" s="2"/>
    </row>
    <row r="1181" spans="1:6" ht="24.95" customHeight="1" x14ac:dyDescent="0.4">
      <c r="A1181" s="2" t="s">
        <v>831</v>
      </c>
      <c r="B1181" s="1" t="s">
        <v>1182</v>
      </c>
      <c r="C1181" s="1" t="str">
        <f t="shared" si="29"/>
        <v>大竹市玖波4-1-1</v>
      </c>
      <c r="D1181" s="1" t="s">
        <v>1195</v>
      </c>
      <c r="E1181" s="3">
        <v>47087</v>
      </c>
      <c r="F1181" s="2"/>
    </row>
    <row r="1182" spans="1:6" ht="24.95" customHeight="1" x14ac:dyDescent="0.4">
      <c r="A1182" s="2" t="s">
        <v>1198</v>
      </c>
      <c r="B1182" s="1" t="s">
        <v>1182</v>
      </c>
      <c r="C1182" s="1" t="str">
        <f t="shared" si="29"/>
        <v>大竹市玖波4-1-1</v>
      </c>
      <c r="D1182" s="1" t="s">
        <v>240</v>
      </c>
      <c r="E1182" s="3">
        <v>47087</v>
      </c>
      <c r="F1182" s="2"/>
    </row>
    <row r="1183" spans="1:6" ht="24.95" customHeight="1" x14ac:dyDescent="0.4">
      <c r="A1183" s="2" t="s">
        <v>1199</v>
      </c>
      <c r="B1183" s="1" t="s">
        <v>1182</v>
      </c>
      <c r="C1183" s="1" t="str">
        <f t="shared" si="29"/>
        <v>大竹市玖波4-1-1</v>
      </c>
      <c r="D1183" s="1" t="s">
        <v>796</v>
      </c>
      <c r="E1183" s="3">
        <v>47087</v>
      </c>
      <c r="F1183" s="2"/>
    </row>
    <row r="1184" spans="1:6" ht="24.95" customHeight="1" x14ac:dyDescent="0.4">
      <c r="A1184" s="2" t="s">
        <v>370</v>
      </c>
      <c r="B1184" s="1" t="s">
        <v>1182</v>
      </c>
      <c r="C1184" s="1" t="str">
        <f t="shared" si="29"/>
        <v>大竹市玖波4-1-1</v>
      </c>
      <c r="D1184" s="1" t="s">
        <v>179</v>
      </c>
      <c r="E1184" s="3">
        <v>47087</v>
      </c>
      <c r="F1184" s="2"/>
    </row>
    <row r="1185" spans="1:6" ht="24.95" customHeight="1" x14ac:dyDescent="0.4">
      <c r="A1185" s="2" t="s">
        <v>893</v>
      </c>
      <c r="B1185" s="1" t="s">
        <v>1182</v>
      </c>
      <c r="C1185" s="1" t="str">
        <f t="shared" si="29"/>
        <v>大竹市玖波4-1-1</v>
      </c>
      <c r="D1185" s="1" t="s">
        <v>104</v>
      </c>
      <c r="E1185" s="3">
        <v>47087</v>
      </c>
      <c r="F1185" s="2"/>
    </row>
    <row r="1186" spans="1:6" ht="24.95" customHeight="1" x14ac:dyDescent="0.4">
      <c r="A1186" s="2" t="s">
        <v>989</v>
      </c>
      <c r="B1186" s="1" t="s">
        <v>1182</v>
      </c>
      <c r="C1186" s="1" t="str">
        <f t="shared" si="29"/>
        <v>大竹市玖波4-1-1</v>
      </c>
      <c r="D1186" s="1" t="s">
        <v>437</v>
      </c>
      <c r="E1186" s="3">
        <v>47087</v>
      </c>
      <c r="F1186" s="2"/>
    </row>
    <row r="1187" spans="1:6" ht="24.95" customHeight="1" x14ac:dyDescent="0.4">
      <c r="A1187" s="2" t="s">
        <v>1033</v>
      </c>
      <c r="B1187" s="1" t="s">
        <v>1182</v>
      </c>
      <c r="C1187" s="1" t="str">
        <f t="shared" si="29"/>
        <v>大竹市玖波4-1-1</v>
      </c>
      <c r="D1187" s="1" t="s">
        <v>531</v>
      </c>
      <c r="E1187" s="3">
        <v>47087</v>
      </c>
      <c r="F1187" s="2"/>
    </row>
    <row r="1188" spans="1:6" ht="24.95" customHeight="1" x14ac:dyDescent="0.4">
      <c r="A1188" s="2" t="s">
        <v>127</v>
      </c>
      <c r="B1188" s="1" t="s">
        <v>1182</v>
      </c>
      <c r="C1188" s="1" t="str">
        <f t="shared" si="29"/>
        <v>大竹市玖波4-1-1</v>
      </c>
      <c r="D1188" s="1" t="s">
        <v>678</v>
      </c>
      <c r="E1188" s="3">
        <v>47087</v>
      </c>
      <c r="F1188" s="2"/>
    </row>
    <row r="1189" spans="1:6" ht="24.95" customHeight="1" x14ac:dyDescent="0.4">
      <c r="A1189" s="2" t="s">
        <v>1626</v>
      </c>
      <c r="B1189" s="1" t="s">
        <v>1182</v>
      </c>
      <c r="C1189" s="1" t="str">
        <f t="shared" si="29"/>
        <v>大竹市玖波4-1-1</v>
      </c>
      <c r="D1189" s="1" t="s">
        <v>700</v>
      </c>
      <c r="E1189" s="3">
        <v>47087</v>
      </c>
      <c r="F1189" s="2"/>
    </row>
    <row r="1190" spans="1:6" ht="24.95" customHeight="1" x14ac:dyDescent="0.4">
      <c r="A1190" s="2" t="s">
        <v>1283</v>
      </c>
      <c r="B1190" s="1" t="s">
        <v>1182</v>
      </c>
      <c r="C1190" s="1" t="str">
        <f t="shared" si="29"/>
        <v>大竹市玖波4-1-1</v>
      </c>
      <c r="D1190" s="1" t="s">
        <v>531</v>
      </c>
      <c r="E1190" s="3">
        <v>47087</v>
      </c>
      <c r="F1190" s="2"/>
    </row>
    <row r="1191" spans="1:6" ht="24.95" customHeight="1" x14ac:dyDescent="0.4">
      <c r="A1191" s="2" t="s">
        <v>1654</v>
      </c>
      <c r="B1191" s="1" t="s">
        <v>1182</v>
      </c>
      <c r="C1191" s="1" t="str">
        <f t="shared" si="29"/>
        <v>大竹市玖波4-1-1</v>
      </c>
      <c r="D1191" s="1" t="s">
        <v>700</v>
      </c>
      <c r="E1191" s="3">
        <v>47087</v>
      </c>
      <c r="F1191" s="2"/>
    </row>
    <row r="1192" spans="1:6" ht="24.95" customHeight="1" x14ac:dyDescent="0.4">
      <c r="A1192" s="2" t="s">
        <v>2009</v>
      </c>
      <c r="B1192" s="1" t="s">
        <v>1182</v>
      </c>
      <c r="C1192" s="1" t="str">
        <f t="shared" si="29"/>
        <v>大竹市玖波4-1-1</v>
      </c>
      <c r="D1192" s="1" t="s">
        <v>104</v>
      </c>
      <c r="E1192" s="3">
        <v>47087</v>
      </c>
      <c r="F1192" s="2"/>
    </row>
    <row r="1193" spans="1:6" ht="24.95" customHeight="1" x14ac:dyDescent="0.4">
      <c r="A1193" s="2" t="s">
        <v>1532</v>
      </c>
      <c r="B1193" s="1" t="s">
        <v>1182</v>
      </c>
      <c r="C1193" s="1" t="str">
        <f t="shared" si="29"/>
        <v>大竹市玖波4-1-1</v>
      </c>
      <c r="D1193" s="1" t="s">
        <v>723</v>
      </c>
      <c r="E1193" s="3">
        <v>47087</v>
      </c>
      <c r="F1193" s="2"/>
    </row>
    <row r="1194" spans="1:6" ht="24.95" customHeight="1" x14ac:dyDescent="0.4">
      <c r="A1194" s="2" t="s">
        <v>2272</v>
      </c>
      <c r="B1194" s="1" t="s">
        <v>1182</v>
      </c>
      <c r="C1194" s="1" t="str">
        <f t="shared" si="29"/>
        <v>大竹市玖波4-1-1</v>
      </c>
      <c r="D1194" s="1" t="s">
        <v>344</v>
      </c>
      <c r="E1194" s="3">
        <v>46721</v>
      </c>
      <c r="F1194" s="2"/>
    </row>
    <row r="1195" spans="1:6" ht="24.95" customHeight="1" x14ac:dyDescent="0.4">
      <c r="A1195" s="2" t="s">
        <v>2275</v>
      </c>
      <c r="B1195" s="1" t="s">
        <v>1182</v>
      </c>
      <c r="C1195" s="1" t="str">
        <f t="shared" si="29"/>
        <v>大竹市玖波4-1-1</v>
      </c>
      <c r="D1195" s="1" t="s">
        <v>700</v>
      </c>
      <c r="E1195" s="3">
        <v>46721</v>
      </c>
      <c r="F1195" s="2"/>
    </row>
    <row r="1196" spans="1:6" ht="24.95" customHeight="1" x14ac:dyDescent="0.4">
      <c r="A1196" s="2" t="s">
        <v>2140</v>
      </c>
      <c r="B1196" s="1" t="s">
        <v>1182</v>
      </c>
      <c r="C1196" s="1" t="str">
        <f t="shared" si="29"/>
        <v>大竹市玖波4-1-1</v>
      </c>
      <c r="D1196" s="1" t="s">
        <v>531</v>
      </c>
      <c r="E1196" s="3">
        <v>46721</v>
      </c>
      <c r="F1196" s="2"/>
    </row>
    <row r="1197" spans="1:6" ht="24.95" customHeight="1" x14ac:dyDescent="0.4">
      <c r="A1197" s="2" t="s">
        <v>1898</v>
      </c>
      <c r="B1197" s="1" t="s">
        <v>1182</v>
      </c>
      <c r="C1197" s="1" t="str">
        <f t="shared" si="29"/>
        <v>大竹市玖波4-1-1</v>
      </c>
      <c r="D1197" s="1" t="s">
        <v>796</v>
      </c>
      <c r="E1197" s="3">
        <v>46721</v>
      </c>
      <c r="F1197" s="2"/>
    </row>
    <row r="1198" spans="1:6" ht="24.95" customHeight="1" x14ac:dyDescent="0.4">
      <c r="A1198" s="2" t="s">
        <v>2278</v>
      </c>
      <c r="B1198" s="1" t="s">
        <v>1182</v>
      </c>
      <c r="C1198" s="1" t="str">
        <f t="shared" si="29"/>
        <v>大竹市玖波4-1-1</v>
      </c>
      <c r="D1198" s="1" t="s">
        <v>1027</v>
      </c>
      <c r="E1198" s="3">
        <v>45626</v>
      </c>
      <c r="F1198" s="2"/>
    </row>
    <row r="1199" spans="1:6" ht="24.95" customHeight="1" x14ac:dyDescent="0.4">
      <c r="A1199" s="2" t="s">
        <v>1825</v>
      </c>
      <c r="B1199" s="1" t="s">
        <v>1182</v>
      </c>
      <c r="C1199" s="1" t="str">
        <f t="shared" si="29"/>
        <v>大竹市玖波4-1-1</v>
      </c>
      <c r="D1199" s="1" t="s">
        <v>796</v>
      </c>
      <c r="E1199" s="3">
        <v>45991</v>
      </c>
      <c r="F1199" s="2"/>
    </row>
    <row r="1200" spans="1:6" ht="24.95" customHeight="1" x14ac:dyDescent="0.4">
      <c r="A1200" s="2" t="s">
        <v>2391</v>
      </c>
      <c r="B1200" s="1" t="s">
        <v>1182</v>
      </c>
      <c r="C1200" s="1" t="str">
        <f t="shared" si="29"/>
        <v>大竹市玖波4-1-1</v>
      </c>
      <c r="D1200" s="1" t="s">
        <v>67</v>
      </c>
      <c r="E1200" s="3">
        <v>45991</v>
      </c>
      <c r="F1200" s="2"/>
    </row>
    <row r="1201" spans="1:6" ht="24.95" customHeight="1" x14ac:dyDescent="0.4">
      <c r="A1201" s="2" t="s">
        <v>2424</v>
      </c>
      <c r="B1201" s="1" t="s">
        <v>1182</v>
      </c>
      <c r="C1201" s="1" t="str">
        <f t="shared" si="29"/>
        <v>大竹市玖波4-1-1</v>
      </c>
      <c r="D1201" s="1" t="s">
        <v>576</v>
      </c>
      <c r="E1201" s="3">
        <v>45991</v>
      </c>
      <c r="F1201" s="2"/>
    </row>
    <row r="1202" spans="1:6" ht="24.95" customHeight="1" x14ac:dyDescent="0.4">
      <c r="A1202" s="2" t="s">
        <v>1462</v>
      </c>
      <c r="B1202" s="1" t="s">
        <v>1182</v>
      </c>
      <c r="C1202" s="1" t="str">
        <f t="shared" si="29"/>
        <v>大竹市玖波4-1-1</v>
      </c>
      <c r="D1202" s="1" t="s">
        <v>678</v>
      </c>
      <c r="E1202" s="3">
        <v>46356</v>
      </c>
      <c r="F1202" s="2"/>
    </row>
    <row r="1203" spans="1:6" ht="24.95" customHeight="1" x14ac:dyDescent="0.4">
      <c r="A1203" s="2" t="s">
        <v>2464</v>
      </c>
      <c r="B1203" s="1" t="s">
        <v>1182</v>
      </c>
      <c r="C1203" s="1" t="str">
        <f t="shared" si="29"/>
        <v>大竹市玖波4-1-1</v>
      </c>
      <c r="D1203" s="1" t="s">
        <v>104</v>
      </c>
      <c r="E1203" s="3">
        <v>46721</v>
      </c>
      <c r="F1203" s="2"/>
    </row>
    <row r="1204" spans="1:6" ht="24.95" customHeight="1" x14ac:dyDescent="0.4">
      <c r="A1204" s="2" t="s">
        <v>372</v>
      </c>
      <c r="B1204" s="1" t="s">
        <v>1182</v>
      </c>
      <c r="C1204" s="1" t="str">
        <f t="shared" si="29"/>
        <v>大竹市玖波4-1-1</v>
      </c>
      <c r="D1204" s="1" t="s">
        <v>240</v>
      </c>
      <c r="E1204" s="3">
        <v>46721</v>
      </c>
      <c r="F1204" s="2"/>
    </row>
    <row r="1205" spans="1:6" ht="24.95" customHeight="1" x14ac:dyDescent="0.4">
      <c r="A1205" s="2" t="s">
        <v>111</v>
      </c>
      <c r="B1205" s="1" t="s">
        <v>1182</v>
      </c>
      <c r="C1205" s="1" t="str">
        <f t="shared" si="29"/>
        <v>大竹市玖波4-1-1</v>
      </c>
      <c r="D1205" s="1" t="s">
        <v>67</v>
      </c>
      <c r="E1205" s="3">
        <v>46721</v>
      </c>
      <c r="F1205" s="2"/>
    </row>
    <row r="1206" spans="1:6" ht="24.95" customHeight="1" x14ac:dyDescent="0.4">
      <c r="A1206" s="2" t="s">
        <v>131</v>
      </c>
      <c r="B1206" s="1" t="s">
        <v>1182</v>
      </c>
      <c r="C1206" s="1" t="str">
        <f t="shared" si="29"/>
        <v>大竹市玖波4-1-1</v>
      </c>
      <c r="D1206" s="1" t="s">
        <v>104</v>
      </c>
      <c r="E1206" s="3">
        <v>47087</v>
      </c>
      <c r="F1206" s="2"/>
    </row>
    <row r="1207" spans="1:6" ht="24.95" customHeight="1" x14ac:dyDescent="0.4">
      <c r="A1207" s="2" t="s">
        <v>614</v>
      </c>
      <c r="B1207" s="1" t="s">
        <v>1182</v>
      </c>
      <c r="C1207" s="1" t="str">
        <f t="shared" si="29"/>
        <v>大竹市玖波4-1-1</v>
      </c>
      <c r="D1207" s="1" t="s">
        <v>2578</v>
      </c>
      <c r="E1207" s="3">
        <v>47087</v>
      </c>
      <c r="F1207" s="2"/>
    </row>
    <row r="1208" spans="1:6" ht="24.95" customHeight="1" x14ac:dyDescent="0.4">
      <c r="A1208" s="2" t="s">
        <v>2580</v>
      </c>
      <c r="B1208" s="1" t="s">
        <v>1182</v>
      </c>
      <c r="C1208" s="1" t="str">
        <f t="shared" si="29"/>
        <v>大竹市玖波4-1-1</v>
      </c>
      <c r="D1208" s="1" t="s">
        <v>700</v>
      </c>
      <c r="E1208" s="3">
        <v>47087</v>
      </c>
      <c r="F1208" s="2"/>
    </row>
    <row r="1209" spans="1:6" ht="24.95" customHeight="1" x14ac:dyDescent="0.4">
      <c r="A1209" s="2" t="s">
        <v>2738</v>
      </c>
      <c r="B1209" s="1" t="s">
        <v>1182</v>
      </c>
      <c r="C1209" s="1" t="str">
        <f t="shared" si="29"/>
        <v>大竹市玖波4-1-1</v>
      </c>
      <c r="D1209" s="1" t="s">
        <v>233</v>
      </c>
      <c r="E1209" s="3">
        <v>45626</v>
      </c>
      <c r="F1209" s="2"/>
    </row>
    <row r="1210" spans="1:6" ht="24.95" customHeight="1" x14ac:dyDescent="0.4">
      <c r="A1210" s="2" t="s">
        <v>2003</v>
      </c>
      <c r="B1210" s="1" t="s">
        <v>2261</v>
      </c>
      <c r="C1210" s="1" t="str">
        <f>"大竹市玖波5-2-1"</f>
        <v>大竹市玖波5-2-1</v>
      </c>
      <c r="D1210" s="1" t="s">
        <v>1159</v>
      </c>
      <c r="E1210" s="3">
        <v>46356</v>
      </c>
      <c r="F1210" s="2"/>
    </row>
    <row r="1211" spans="1:6" ht="24.95" customHeight="1" x14ac:dyDescent="0.4">
      <c r="A1211" s="2" t="s">
        <v>2262</v>
      </c>
      <c r="B1211" s="1" t="s">
        <v>2261</v>
      </c>
      <c r="C1211" s="1" t="str">
        <f>"大竹市玖波5-2-1"</f>
        <v>大竹市玖波5-2-1</v>
      </c>
      <c r="D1211" s="1" t="s">
        <v>1159</v>
      </c>
      <c r="E1211" s="3">
        <v>46356</v>
      </c>
      <c r="F1211" s="2"/>
    </row>
    <row r="1212" spans="1:6" ht="24.95" customHeight="1" x14ac:dyDescent="0.4">
      <c r="A1212" s="2" t="s">
        <v>2263</v>
      </c>
      <c r="B1212" s="1" t="s">
        <v>2261</v>
      </c>
      <c r="C1212" s="1" t="str">
        <f>"大竹市玖波5-2-1"</f>
        <v>大竹市玖波5-2-1</v>
      </c>
      <c r="D1212" s="1" t="s">
        <v>1159</v>
      </c>
      <c r="E1212" s="3">
        <v>46356</v>
      </c>
      <c r="F1212" s="2"/>
    </row>
    <row r="1213" spans="1:6" ht="24.95" customHeight="1" x14ac:dyDescent="0.4">
      <c r="A1213" s="2" t="s">
        <v>574</v>
      </c>
      <c r="B1213" s="1" t="s">
        <v>2261</v>
      </c>
      <c r="C1213" s="1" t="str">
        <f>"大竹市玖波5-2-1"</f>
        <v>大竹市玖波5-2-1</v>
      </c>
      <c r="D1213" s="1" t="s">
        <v>1159</v>
      </c>
      <c r="E1213" s="3">
        <v>46356</v>
      </c>
      <c r="F1213" s="2"/>
    </row>
    <row r="1214" spans="1:6" ht="24.95" customHeight="1" x14ac:dyDescent="0.4">
      <c r="A1214" s="2" t="s">
        <v>2135</v>
      </c>
      <c r="B1214" s="1" t="s">
        <v>2401</v>
      </c>
      <c r="C1214" s="1" t="str">
        <f>"大竹市元町1-1-5"</f>
        <v>大竹市元町1-1-5</v>
      </c>
      <c r="D1214" s="1" t="s">
        <v>30</v>
      </c>
      <c r="E1214" s="3">
        <v>45991</v>
      </c>
      <c r="F1214" s="2"/>
    </row>
    <row r="1215" spans="1:6" ht="24.95" customHeight="1" x14ac:dyDescent="0.4">
      <c r="A1215" s="2" t="s">
        <v>2473</v>
      </c>
      <c r="B1215" s="1" t="s">
        <v>2401</v>
      </c>
      <c r="C1215" s="1" t="str">
        <f>"大竹市元町1-1-5"</f>
        <v>大竹市元町1-1-5</v>
      </c>
      <c r="D1215" s="1" t="s">
        <v>30</v>
      </c>
      <c r="E1215" s="3">
        <v>46721</v>
      </c>
      <c r="F1215" s="2"/>
    </row>
    <row r="1216" spans="1:6" ht="24.95" customHeight="1" x14ac:dyDescent="0.4">
      <c r="A1216" s="2" t="s">
        <v>2483</v>
      </c>
      <c r="B1216" s="1" t="s">
        <v>2401</v>
      </c>
      <c r="C1216" s="1" t="str">
        <f>"大竹市元町1-1-5"</f>
        <v>大竹市元町1-1-5</v>
      </c>
      <c r="D1216" s="1" t="s">
        <v>30</v>
      </c>
      <c r="E1216" s="3">
        <v>46721</v>
      </c>
      <c r="F1216" s="2"/>
    </row>
    <row r="1217" spans="1:6" ht="24.95" customHeight="1" x14ac:dyDescent="0.4">
      <c r="A1217" s="2" t="s">
        <v>2671</v>
      </c>
      <c r="B1217" s="1" t="s">
        <v>2401</v>
      </c>
      <c r="C1217" s="1" t="str">
        <f>"大竹市元町1-1-5"</f>
        <v>大竹市元町1-1-5</v>
      </c>
      <c r="D1217" s="1" t="s">
        <v>30</v>
      </c>
      <c r="E1217" s="3">
        <v>47087</v>
      </c>
      <c r="F1217" s="2"/>
    </row>
    <row r="1218" spans="1:6" ht="24.95" customHeight="1" x14ac:dyDescent="0.4">
      <c r="A1218" s="2" t="s">
        <v>1257</v>
      </c>
      <c r="B1218" s="1" t="s">
        <v>1258</v>
      </c>
      <c r="C1218" s="1" t="str">
        <f>"大竹市御幸町20-1"</f>
        <v>大竹市御幸町20-1</v>
      </c>
      <c r="D1218" s="1" t="s">
        <v>346</v>
      </c>
      <c r="E1218" s="3">
        <v>47087</v>
      </c>
      <c r="F1218" s="2"/>
    </row>
    <row r="1219" spans="1:6" ht="24.95" customHeight="1" x14ac:dyDescent="0.4">
      <c r="A1219" s="2" t="s">
        <v>2317</v>
      </c>
      <c r="B1219" s="1" t="s">
        <v>2318</v>
      </c>
      <c r="C1219" s="1" t="str">
        <f>"大竹市新町1-1-25-3F"</f>
        <v>大竹市新町1-1-25-3F</v>
      </c>
      <c r="D1219" s="1" t="s">
        <v>809</v>
      </c>
      <c r="E1219" s="3">
        <v>47087</v>
      </c>
      <c r="F1219" s="2"/>
    </row>
    <row r="1220" spans="1:6" ht="24.95" customHeight="1" x14ac:dyDescent="0.4">
      <c r="A1220" s="2" t="s">
        <v>1557</v>
      </c>
      <c r="B1220" s="1" t="s">
        <v>1559</v>
      </c>
      <c r="C1220" s="1" t="str">
        <f>"大竹市新町1-2-7-101"</f>
        <v>大竹市新町1-2-7-101</v>
      </c>
      <c r="D1220" s="1" t="s">
        <v>30</v>
      </c>
      <c r="E1220" s="3">
        <v>47087</v>
      </c>
      <c r="F1220" s="2"/>
    </row>
    <row r="1221" spans="1:6" ht="24.95" customHeight="1" x14ac:dyDescent="0.4">
      <c r="A1221" s="2" t="s">
        <v>1686</v>
      </c>
      <c r="B1221" s="1" t="s">
        <v>1423</v>
      </c>
      <c r="C1221" s="1" t="str">
        <f>"大竹市新町2-7-1"</f>
        <v>大竹市新町2-7-1</v>
      </c>
      <c r="D1221" s="1" t="s">
        <v>139</v>
      </c>
      <c r="E1221" s="3">
        <v>47087</v>
      </c>
      <c r="F1221" s="2"/>
    </row>
    <row r="1222" spans="1:6" ht="24.95" customHeight="1" x14ac:dyDescent="0.4">
      <c r="A1222" s="2" t="s">
        <v>1687</v>
      </c>
      <c r="B1222" s="1" t="s">
        <v>1423</v>
      </c>
      <c r="C1222" s="1" t="str">
        <f>"大竹市新町2-7-1"</f>
        <v>大竹市新町2-7-1</v>
      </c>
      <c r="D1222" s="1" t="s">
        <v>139</v>
      </c>
      <c r="E1222" s="3">
        <v>47087</v>
      </c>
      <c r="F1222" s="2"/>
    </row>
    <row r="1223" spans="1:6" ht="24.95" customHeight="1" x14ac:dyDescent="0.4">
      <c r="A1223" s="2" t="s">
        <v>223</v>
      </c>
      <c r="B1223" s="1" t="s">
        <v>991</v>
      </c>
      <c r="C1223" s="1" t="str">
        <f>"大竹市晴海1-4-13"</f>
        <v>大竹市晴海1-4-13</v>
      </c>
      <c r="D1223" s="1" t="s">
        <v>30</v>
      </c>
      <c r="E1223" s="3">
        <v>47087</v>
      </c>
      <c r="F1223" s="2"/>
    </row>
    <row r="1224" spans="1:6" ht="24.95" customHeight="1" x14ac:dyDescent="0.4">
      <c r="A1224" s="2" t="s">
        <v>160</v>
      </c>
      <c r="B1224" s="1" t="s">
        <v>540</v>
      </c>
      <c r="C1224" s="1" t="str">
        <f>"大竹市西栄1-12-1"</f>
        <v>大竹市西栄1-12-1</v>
      </c>
      <c r="D1224" s="1" t="s">
        <v>186</v>
      </c>
      <c r="E1224" s="3">
        <v>47087</v>
      </c>
      <c r="F1224" s="2"/>
    </row>
    <row r="1225" spans="1:6" ht="24.95" customHeight="1" x14ac:dyDescent="0.4">
      <c r="A1225" s="2" t="s">
        <v>707</v>
      </c>
      <c r="B1225" s="1" t="s">
        <v>250</v>
      </c>
      <c r="C1225" s="1" t="str">
        <f>"大竹市西栄2-15-17"</f>
        <v>大竹市西栄2-15-17</v>
      </c>
      <c r="D1225" s="1" t="s">
        <v>139</v>
      </c>
      <c r="E1225" s="3">
        <v>47087</v>
      </c>
      <c r="F1225" s="2"/>
    </row>
    <row r="1226" spans="1:6" ht="24.95" customHeight="1" x14ac:dyDescent="0.4">
      <c r="A1226" s="2" t="s">
        <v>589</v>
      </c>
      <c r="B1226" s="1" t="s">
        <v>2184</v>
      </c>
      <c r="C1226" s="1" t="str">
        <f>"大竹市南栄1-6-15"</f>
        <v>大竹市南栄1-6-15</v>
      </c>
      <c r="D1226" s="1" t="s">
        <v>30</v>
      </c>
      <c r="E1226" s="3">
        <v>47087</v>
      </c>
      <c r="F1226" s="2"/>
    </row>
    <row r="1227" spans="1:6" ht="24.95" customHeight="1" x14ac:dyDescent="0.4">
      <c r="A1227" s="2" t="s">
        <v>1275</v>
      </c>
      <c r="B1227" s="1" t="s">
        <v>1775</v>
      </c>
      <c r="C1227" s="1" t="str">
        <f>"大竹市本町1-1-18"</f>
        <v>大竹市本町1-1-18</v>
      </c>
      <c r="D1227" s="1" t="s">
        <v>30</v>
      </c>
      <c r="E1227" s="3">
        <v>47087</v>
      </c>
      <c r="F1227" s="2"/>
    </row>
    <row r="1228" spans="1:6" ht="24.95" customHeight="1" x14ac:dyDescent="0.4">
      <c r="A1228" s="2" t="s">
        <v>1505</v>
      </c>
      <c r="B1228" s="1" t="s">
        <v>267</v>
      </c>
      <c r="C1228" s="1" t="str">
        <f>"大竹市油見3-12-7"</f>
        <v>大竹市油見3-12-7</v>
      </c>
      <c r="D1228" s="1" t="s">
        <v>41</v>
      </c>
      <c r="E1228" s="3">
        <v>47087</v>
      </c>
      <c r="F1228" s="2"/>
    </row>
    <row r="1229" spans="1:6" ht="24.95" customHeight="1" x14ac:dyDescent="0.4">
      <c r="A1229" s="2" t="s">
        <v>34</v>
      </c>
      <c r="B1229" s="1" t="s">
        <v>1649</v>
      </c>
      <c r="C1229" s="1" t="str">
        <f>"大竹市立戸2-6-26"</f>
        <v>大竹市立戸2-6-26</v>
      </c>
      <c r="D1229" s="1" t="s">
        <v>201</v>
      </c>
      <c r="E1229" s="3">
        <v>47087</v>
      </c>
      <c r="F1229" s="2"/>
    </row>
    <row r="1230" spans="1:6" ht="24.95" customHeight="1" x14ac:dyDescent="0.4">
      <c r="A1230" s="2" t="s">
        <v>1762</v>
      </c>
      <c r="B1230" s="1" t="s">
        <v>611</v>
      </c>
      <c r="C1230" s="1" t="s">
        <v>1177</v>
      </c>
      <c r="D1230" s="1" t="s">
        <v>531</v>
      </c>
      <c r="E1230" s="3">
        <v>47087</v>
      </c>
      <c r="F1230" s="2"/>
    </row>
    <row r="1231" spans="1:6" ht="24.95" customHeight="1" x14ac:dyDescent="0.4">
      <c r="A1231" s="2" t="s">
        <v>945</v>
      </c>
      <c r="B1231" s="1" t="s">
        <v>611</v>
      </c>
      <c r="C1231" s="1" t="s">
        <v>1177</v>
      </c>
      <c r="D1231" s="1" t="s">
        <v>531</v>
      </c>
      <c r="E1231" s="3">
        <v>47087</v>
      </c>
      <c r="F1231" s="2"/>
    </row>
    <row r="1232" spans="1:6" ht="24.95" customHeight="1" x14ac:dyDescent="0.4">
      <c r="A1232" s="2" t="s">
        <v>1309</v>
      </c>
      <c r="B1232" s="1" t="s">
        <v>611</v>
      </c>
      <c r="C1232" s="1" t="s">
        <v>1177</v>
      </c>
      <c r="D1232" s="1" t="s">
        <v>30</v>
      </c>
      <c r="E1232" s="3">
        <v>47087</v>
      </c>
      <c r="F1232" s="2"/>
    </row>
    <row r="1233" spans="1:6" ht="24.95" customHeight="1" x14ac:dyDescent="0.4">
      <c r="A1233" s="2" t="s">
        <v>1471</v>
      </c>
      <c r="B1233" s="1" t="s">
        <v>611</v>
      </c>
      <c r="C1233" s="1" t="s">
        <v>1177</v>
      </c>
      <c r="D1233" s="1" t="s">
        <v>324</v>
      </c>
      <c r="E1233" s="3">
        <v>47087</v>
      </c>
      <c r="F1233" s="2"/>
    </row>
    <row r="1234" spans="1:6" ht="24.95" customHeight="1" x14ac:dyDescent="0.4">
      <c r="A1234" s="2" t="s">
        <v>2458</v>
      </c>
      <c r="B1234" s="1" t="s">
        <v>611</v>
      </c>
      <c r="C1234" s="1" t="s">
        <v>1177</v>
      </c>
      <c r="D1234" s="1" t="s">
        <v>30</v>
      </c>
      <c r="E1234" s="3">
        <v>46356</v>
      </c>
      <c r="F1234" s="2"/>
    </row>
    <row r="1235" spans="1:6" ht="24.95" customHeight="1" x14ac:dyDescent="0.4">
      <c r="A1235" s="2" t="s">
        <v>2474</v>
      </c>
      <c r="B1235" s="1" t="s">
        <v>611</v>
      </c>
      <c r="C1235" s="1" t="s">
        <v>1177</v>
      </c>
      <c r="D1235" s="1" t="s">
        <v>30</v>
      </c>
      <c r="E1235" s="3">
        <v>46721</v>
      </c>
      <c r="F1235" s="2"/>
    </row>
    <row r="1236" spans="1:6" ht="24.95" customHeight="1" x14ac:dyDescent="0.4">
      <c r="A1236" s="2" t="s">
        <v>2434</v>
      </c>
      <c r="B1236" s="1" t="s">
        <v>611</v>
      </c>
      <c r="C1236" s="1" t="s">
        <v>1177</v>
      </c>
      <c r="D1236" s="1" t="s">
        <v>179</v>
      </c>
      <c r="E1236" s="3">
        <v>47087</v>
      </c>
      <c r="F1236" s="2"/>
    </row>
    <row r="1237" spans="1:6" ht="24.95" customHeight="1" x14ac:dyDescent="0.4">
      <c r="A1237" s="2" t="s">
        <v>1435</v>
      </c>
      <c r="B1237" s="1" t="s">
        <v>611</v>
      </c>
      <c r="C1237" s="1" t="s">
        <v>1177</v>
      </c>
      <c r="D1237" s="1" t="s">
        <v>104</v>
      </c>
      <c r="E1237" s="3">
        <v>47087</v>
      </c>
      <c r="F1237" s="2"/>
    </row>
    <row r="1238" spans="1:6" ht="24.95" customHeight="1" x14ac:dyDescent="0.4">
      <c r="A1238" s="2" t="s">
        <v>2734</v>
      </c>
      <c r="B1238" s="1" t="s">
        <v>611</v>
      </c>
      <c r="C1238" s="1" t="s">
        <v>1177</v>
      </c>
      <c r="D1238" s="1" t="s">
        <v>428</v>
      </c>
      <c r="E1238" s="3">
        <v>47087</v>
      </c>
      <c r="F1238" s="2"/>
    </row>
    <row r="1239" spans="1:6" ht="24.95" customHeight="1" x14ac:dyDescent="0.4">
      <c r="A1239" s="2" t="s">
        <v>293</v>
      </c>
      <c r="B1239" s="1" t="s">
        <v>2629</v>
      </c>
      <c r="C1239" s="1" t="str">
        <f>"東広島市高屋高美が丘5-2-1"</f>
        <v>東広島市高屋高美が丘5-2-1</v>
      </c>
      <c r="D1239" s="1" t="s">
        <v>2630</v>
      </c>
      <c r="E1239" s="3">
        <v>47087</v>
      </c>
      <c r="F1239" s="2"/>
    </row>
    <row r="1240" spans="1:6" ht="24.95" customHeight="1" x14ac:dyDescent="0.4">
      <c r="A1240" s="2" t="s">
        <v>2491</v>
      </c>
      <c r="B1240" s="1" t="s">
        <v>2192</v>
      </c>
      <c r="C1240" s="1" t="str">
        <f>"東広島市高屋町杵原1292-1"</f>
        <v>東広島市高屋町杵原1292-1</v>
      </c>
      <c r="D1240" s="1" t="s">
        <v>179</v>
      </c>
      <c r="E1240" s="3">
        <v>46721</v>
      </c>
      <c r="F1240" s="2"/>
    </row>
    <row r="1241" spans="1:6" ht="24.95" customHeight="1" x14ac:dyDescent="0.4">
      <c r="A1241" s="2" t="s">
        <v>407</v>
      </c>
      <c r="B1241" s="1" t="s">
        <v>433</v>
      </c>
      <c r="C1241" s="1" t="str">
        <f>"東広島市高屋町杵原1347-8"</f>
        <v>東広島市高屋町杵原1347-8</v>
      </c>
      <c r="D1241" s="1" t="s">
        <v>139</v>
      </c>
      <c r="E1241" s="3">
        <v>47087</v>
      </c>
      <c r="F1241" s="2"/>
    </row>
    <row r="1242" spans="1:6" ht="24.95" customHeight="1" x14ac:dyDescent="0.4">
      <c r="A1242" s="2" t="s">
        <v>1981</v>
      </c>
      <c r="B1242" s="1" t="s">
        <v>2054</v>
      </c>
      <c r="C1242" s="1" t="str">
        <f>"東広島市高屋町杵原1771-1"</f>
        <v>東広島市高屋町杵原1771-1</v>
      </c>
      <c r="D1242" s="1" t="s">
        <v>324</v>
      </c>
      <c r="E1242" s="3">
        <v>45991</v>
      </c>
      <c r="F1242" s="2"/>
    </row>
    <row r="1243" spans="1:6" ht="24.95" customHeight="1" x14ac:dyDescent="0.4">
      <c r="A1243" s="2" t="s">
        <v>2726</v>
      </c>
      <c r="B1243" s="1" t="s">
        <v>1274</v>
      </c>
      <c r="C1243" s="1" t="str">
        <f>"東広島市高屋町造賀2957-1"</f>
        <v>東広島市高屋町造賀2957-1</v>
      </c>
      <c r="D1243" s="1" t="s">
        <v>122</v>
      </c>
      <c r="E1243" s="3">
        <v>46356</v>
      </c>
      <c r="F1243" s="2"/>
    </row>
    <row r="1244" spans="1:6" ht="24.95" customHeight="1" x14ac:dyDescent="0.4">
      <c r="A1244" s="2" t="s">
        <v>29</v>
      </c>
      <c r="B1244" s="1" t="s">
        <v>31</v>
      </c>
      <c r="C1244" s="1" t="str">
        <f>"東広島市高屋町大畠499-18"</f>
        <v>東広島市高屋町大畠499-18</v>
      </c>
      <c r="D1244" s="1" t="s">
        <v>382</v>
      </c>
      <c r="E1244" s="3">
        <v>47087</v>
      </c>
      <c r="F1244" s="2"/>
    </row>
    <row r="1245" spans="1:6" ht="24.95" customHeight="1" x14ac:dyDescent="0.4">
      <c r="A1245" s="2" t="s">
        <v>842</v>
      </c>
      <c r="B1245" s="1" t="s">
        <v>2367</v>
      </c>
      <c r="C1245" s="1" t="str">
        <f>"東広島市高屋町白市716-1"</f>
        <v>東広島市高屋町白市716-1</v>
      </c>
      <c r="D1245" s="1" t="s">
        <v>1202</v>
      </c>
      <c r="E1245" s="3">
        <v>45626</v>
      </c>
      <c r="F1245" s="2"/>
    </row>
    <row r="1246" spans="1:6" ht="24.95" customHeight="1" x14ac:dyDescent="0.4">
      <c r="A1246" s="2" t="s">
        <v>1085</v>
      </c>
      <c r="B1246" s="1" t="s">
        <v>1359</v>
      </c>
      <c r="C1246" s="1" t="str">
        <f>"東広島市高屋町檜山448-1"</f>
        <v>東広島市高屋町檜山448-1</v>
      </c>
      <c r="D1246" s="1" t="s">
        <v>30</v>
      </c>
      <c r="E1246" s="3">
        <v>47087</v>
      </c>
      <c r="F1246" s="2"/>
    </row>
    <row r="1247" spans="1:6" ht="24.95" customHeight="1" x14ac:dyDescent="0.4">
      <c r="A1247" s="2" t="s">
        <v>271</v>
      </c>
      <c r="B1247" s="1" t="s">
        <v>499</v>
      </c>
      <c r="C1247" s="1" t="s">
        <v>379</v>
      </c>
      <c r="D1247" s="1" t="s">
        <v>30</v>
      </c>
      <c r="E1247" s="3">
        <v>45991</v>
      </c>
      <c r="F1247" s="2"/>
    </row>
    <row r="1248" spans="1:6" ht="24.95" customHeight="1" x14ac:dyDescent="0.4">
      <c r="A1248" s="2" t="s">
        <v>355</v>
      </c>
      <c r="B1248" s="1" t="s">
        <v>1253</v>
      </c>
      <c r="C1248" s="1" t="str">
        <f>"東広島市黒瀬町兼広10-1"</f>
        <v>東広島市黒瀬町兼広10-1</v>
      </c>
      <c r="D1248" s="1" t="s">
        <v>139</v>
      </c>
      <c r="E1248" s="3">
        <v>47087</v>
      </c>
      <c r="F1248" s="2"/>
    </row>
    <row r="1249" spans="1:6" ht="24.95" customHeight="1" x14ac:dyDescent="0.4">
      <c r="A1249" s="2" t="s">
        <v>352</v>
      </c>
      <c r="B1249" s="1" t="s">
        <v>455</v>
      </c>
      <c r="C1249" s="1" t="s">
        <v>1170</v>
      </c>
      <c r="D1249" s="1" t="s">
        <v>122</v>
      </c>
      <c r="E1249" s="3">
        <v>47087</v>
      </c>
      <c r="F1249" s="2"/>
    </row>
    <row r="1250" spans="1:6" ht="24.95" customHeight="1" x14ac:dyDescent="0.4">
      <c r="A1250" s="2" t="s">
        <v>2678</v>
      </c>
      <c r="B1250" s="1" t="s">
        <v>1844</v>
      </c>
      <c r="C1250" s="1" t="str">
        <f>"東広島市黒瀬町兼広137-8"</f>
        <v>東広島市黒瀬町兼広137-8</v>
      </c>
      <c r="D1250" s="1" t="s">
        <v>448</v>
      </c>
      <c r="E1250" s="3">
        <v>47087</v>
      </c>
      <c r="F1250" s="2"/>
    </row>
    <row r="1251" spans="1:6" ht="24.95" customHeight="1" x14ac:dyDescent="0.4">
      <c r="A1251" s="2" t="s">
        <v>339</v>
      </c>
      <c r="B1251" s="1" t="s">
        <v>1165</v>
      </c>
      <c r="C1251" s="1" t="s">
        <v>1167</v>
      </c>
      <c r="D1251" s="1" t="s">
        <v>30</v>
      </c>
      <c r="E1251" s="3">
        <v>47087</v>
      </c>
      <c r="F1251" s="2"/>
    </row>
    <row r="1252" spans="1:6" ht="24.95" customHeight="1" x14ac:dyDescent="0.4">
      <c r="A1252" s="2" t="s">
        <v>1145</v>
      </c>
      <c r="B1252" s="1" t="s">
        <v>727</v>
      </c>
      <c r="C1252" s="1" t="s">
        <v>1561</v>
      </c>
      <c r="D1252" s="1" t="s">
        <v>88</v>
      </c>
      <c r="E1252" s="3">
        <v>47087</v>
      </c>
      <c r="F1252" s="2"/>
    </row>
    <row r="1253" spans="1:6" ht="24.95" customHeight="1" x14ac:dyDescent="0.4">
      <c r="A1253" s="2" t="s">
        <v>948</v>
      </c>
      <c r="B1253" s="1" t="s">
        <v>172</v>
      </c>
      <c r="C1253" s="1" t="s">
        <v>947</v>
      </c>
      <c r="D1253" s="1" t="s">
        <v>79</v>
      </c>
      <c r="E1253" s="3">
        <v>47087</v>
      </c>
      <c r="F1253" s="2"/>
    </row>
    <row r="1254" spans="1:6" ht="24.95" customHeight="1" x14ac:dyDescent="0.4">
      <c r="A1254" s="2" t="s">
        <v>1060</v>
      </c>
      <c r="B1254" s="1" t="s">
        <v>172</v>
      </c>
      <c r="C1254" s="1" t="s">
        <v>947</v>
      </c>
      <c r="D1254" s="1" t="s">
        <v>30</v>
      </c>
      <c r="E1254" s="3">
        <v>47087</v>
      </c>
      <c r="F1254" s="2"/>
    </row>
    <row r="1255" spans="1:6" ht="24.95" customHeight="1" x14ac:dyDescent="0.4">
      <c r="A1255" s="2" t="s">
        <v>303</v>
      </c>
      <c r="B1255" s="1" t="s">
        <v>304</v>
      </c>
      <c r="C1255" s="1" t="s">
        <v>305</v>
      </c>
      <c r="D1255" s="1" t="s">
        <v>41</v>
      </c>
      <c r="E1255" s="3">
        <v>47087</v>
      </c>
      <c r="F1255" s="2"/>
    </row>
    <row r="1256" spans="1:6" ht="24.95" customHeight="1" x14ac:dyDescent="0.4">
      <c r="A1256" s="2" t="s">
        <v>465</v>
      </c>
      <c r="B1256" s="1" t="s">
        <v>466</v>
      </c>
      <c r="C1256" s="1" t="str">
        <f>"東広島市黒瀬町楢原243-6"</f>
        <v>東広島市黒瀬町楢原243-6</v>
      </c>
      <c r="D1256" s="1" t="s">
        <v>30</v>
      </c>
      <c r="E1256" s="3">
        <v>47087</v>
      </c>
      <c r="F1256" s="2"/>
    </row>
    <row r="1257" spans="1:6" ht="24.95" customHeight="1" x14ac:dyDescent="0.4">
      <c r="A1257" s="2" t="s">
        <v>1404</v>
      </c>
      <c r="B1257" s="1" t="s">
        <v>1405</v>
      </c>
      <c r="C1257" s="1" t="s">
        <v>1406</v>
      </c>
      <c r="D1257" s="1" t="s">
        <v>717</v>
      </c>
      <c r="E1257" s="3">
        <v>47087</v>
      </c>
      <c r="F1257" s="2"/>
    </row>
    <row r="1258" spans="1:6" ht="24.95" customHeight="1" x14ac:dyDescent="0.4">
      <c r="A1258" s="2" t="s">
        <v>1407</v>
      </c>
      <c r="B1258" s="1" t="s">
        <v>1405</v>
      </c>
      <c r="C1258" s="1" t="s">
        <v>1406</v>
      </c>
      <c r="D1258" s="1" t="s">
        <v>30</v>
      </c>
      <c r="E1258" s="3">
        <v>47087</v>
      </c>
      <c r="F1258" s="2"/>
    </row>
    <row r="1259" spans="1:6" ht="24.95" customHeight="1" x14ac:dyDescent="0.4">
      <c r="A1259" s="2" t="s">
        <v>1482</v>
      </c>
      <c r="B1259" s="1" t="s">
        <v>1405</v>
      </c>
      <c r="C1259" s="1" t="s">
        <v>1406</v>
      </c>
      <c r="D1259" s="1" t="s">
        <v>30</v>
      </c>
      <c r="E1259" s="3">
        <v>46356</v>
      </c>
      <c r="F1259" s="2"/>
    </row>
    <row r="1260" spans="1:6" ht="24.95" customHeight="1" x14ac:dyDescent="0.4">
      <c r="A1260" s="2" t="s">
        <v>2399</v>
      </c>
      <c r="B1260" s="1" t="s">
        <v>1572</v>
      </c>
      <c r="C1260" s="1" t="str">
        <f>"東広島市寺家駅前13-35-101"</f>
        <v>東広島市寺家駅前13-35-101</v>
      </c>
      <c r="D1260" s="1" t="s">
        <v>139</v>
      </c>
      <c r="E1260" s="3">
        <v>46356</v>
      </c>
      <c r="F1260" s="2"/>
    </row>
    <row r="1261" spans="1:6" ht="24.95" customHeight="1" x14ac:dyDescent="0.4">
      <c r="A1261" s="2" t="s">
        <v>975</v>
      </c>
      <c r="B1261" s="1" t="s">
        <v>1113</v>
      </c>
      <c r="C1261" s="1" t="str">
        <f>"東広島市寺家駅前14-17-202"</f>
        <v>東広島市寺家駅前14-17-202</v>
      </c>
      <c r="D1261" s="1" t="s">
        <v>88</v>
      </c>
      <c r="E1261" s="3">
        <v>47087</v>
      </c>
      <c r="F1261" s="2"/>
    </row>
    <row r="1262" spans="1:6" ht="24.95" customHeight="1" x14ac:dyDescent="0.4">
      <c r="A1262" s="2" t="s">
        <v>1497</v>
      </c>
      <c r="B1262" s="1" t="s">
        <v>943</v>
      </c>
      <c r="C1262" s="1" t="str">
        <f>"東広島市寺家駅前14-17-301"</f>
        <v>東広島市寺家駅前14-17-301</v>
      </c>
      <c r="D1262" s="1" t="s">
        <v>582</v>
      </c>
      <c r="E1262" s="3">
        <v>47087</v>
      </c>
      <c r="F1262" s="2"/>
    </row>
    <row r="1263" spans="1:6" ht="24.95" customHeight="1" x14ac:dyDescent="0.4">
      <c r="A1263" s="2" t="s">
        <v>638</v>
      </c>
      <c r="B1263" s="1" t="s">
        <v>1749</v>
      </c>
      <c r="C1263" s="1" t="str">
        <f>"東広島市寺家駅前14-17-302"</f>
        <v>東広島市寺家駅前14-17-302</v>
      </c>
      <c r="D1263" s="1" t="s">
        <v>67</v>
      </c>
      <c r="E1263" s="3">
        <v>47087</v>
      </c>
      <c r="F1263" s="2"/>
    </row>
    <row r="1264" spans="1:6" ht="24.95" customHeight="1" x14ac:dyDescent="0.4">
      <c r="A1264" s="2" t="s">
        <v>206</v>
      </c>
      <c r="B1264" s="1" t="s">
        <v>1076</v>
      </c>
      <c r="C1264" s="1" t="str">
        <f>"東広島市西条栄町10-30-201"</f>
        <v>東広島市西条栄町10-30-201</v>
      </c>
      <c r="D1264" s="1" t="s">
        <v>576</v>
      </c>
      <c r="E1264" s="3">
        <v>47087</v>
      </c>
      <c r="F1264" s="2"/>
    </row>
    <row r="1265" spans="1:6" ht="24.95" customHeight="1" x14ac:dyDescent="0.4">
      <c r="A1265" s="2" t="s">
        <v>326</v>
      </c>
      <c r="B1265" s="1" t="s">
        <v>1506</v>
      </c>
      <c r="C1265" s="1" t="str">
        <f>"東広島市西条栄町2-23"</f>
        <v>東広島市西条栄町2-23</v>
      </c>
      <c r="D1265" s="1" t="s">
        <v>240</v>
      </c>
      <c r="E1265" s="3">
        <v>47087</v>
      </c>
      <c r="F1265" s="2"/>
    </row>
    <row r="1266" spans="1:6" ht="24.95" customHeight="1" x14ac:dyDescent="0.4">
      <c r="A1266" s="2" t="s">
        <v>1970</v>
      </c>
      <c r="B1266" s="1" t="s">
        <v>698</v>
      </c>
      <c r="C1266" s="1" t="str">
        <f>"東広島市西条岡町3-25"</f>
        <v>東広島市西条岡町3-25</v>
      </c>
      <c r="D1266" s="1" t="s">
        <v>139</v>
      </c>
      <c r="E1266" s="3">
        <v>47087</v>
      </c>
      <c r="F1266" s="2"/>
    </row>
    <row r="1267" spans="1:6" ht="24.95" customHeight="1" x14ac:dyDescent="0.4">
      <c r="A1267" s="2" t="s">
        <v>1223</v>
      </c>
      <c r="B1267" s="1" t="s">
        <v>729</v>
      </c>
      <c r="C1267" s="1" t="str">
        <f>"東広島市西条岡町8-13"</f>
        <v>東広島市西条岡町8-13</v>
      </c>
      <c r="D1267" s="1" t="s">
        <v>30</v>
      </c>
      <c r="E1267" s="3">
        <v>47087</v>
      </c>
      <c r="F1267" s="2"/>
    </row>
    <row r="1268" spans="1:6" ht="24.95" customHeight="1" x14ac:dyDescent="0.4">
      <c r="A1268" s="2" t="s">
        <v>1366</v>
      </c>
      <c r="B1268" s="1" t="s">
        <v>729</v>
      </c>
      <c r="C1268" s="1" t="str">
        <f>"東広島市西条岡町8-13"</f>
        <v>東広島市西条岡町8-13</v>
      </c>
      <c r="D1268" s="1" t="s">
        <v>30</v>
      </c>
      <c r="E1268" s="3">
        <v>47087</v>
      </c>
      <c r="F1268" s="2"/>
    </row>
    <row r="1269" spans="1:6" ht="24.95" customHeight="1" x14ac:dyDescent="0.4">
      <c r="A1269" s="2" t="s">
        <v>1653</v>
      </c>
      <c r="B1269" s="1" t="s">
        <v>729</v>
      </c>
      <c r="C1269" s="1" t="str">
        <f>"東広島市西条岡町8-13"</f>
        <v>東広島市西条岡町8-13</v>
      </c>
      <c r="D1269" s="1" t="s">
        <v>531</v>
      </c>
      <c r="E1269" s="3">
        <v>47087</v>
      </c>
      <c r="F1269" s="2"/>
    </row>
    <row r="1270" spans="1:6" ht="24.95" customHeight="1" x14ac:dyDescent="0.4">
      <c r="A1270" s="2" t="s">
        <v>1218</v>
      </c>
      <c r="B1270" s="1" t="s">
        <v>729</v>
      </c>
      <c r="C1270" s="1" t="str">
        <f>"東広島市西条岡町8-13"</f>
        <v>東広島市西条岡町8-13</v>
      </c>
      <c r="D1270" s="1" t="s">
        <v>30</v>
      </c>
      <c r="E1270" s="3">
        <v>47087</v>
      </c>
      <c r="F1270" s="2"/>
    </row>
    <row r="1271" spans="1:6" ht="24.95" customHeight="1" x14ac:dyDescent="0.4">
      <c r="A1271" s="2" t="s">
        <v>2154</v>
      </c>
      <c r="B1271" s="1" t="s">
        <v>729</v>
      </c>
      <c r="C1271" s="1" t="str">
        <f>"東広島市西条岡町8-13"</f>
        <v>東広島市西条岡町8-13</v>
      </c>
      <c r="D1271" s="1" t="s">
        <v>30</v>
      </c>
      <c r="E1271" s="3">
        <v>47087</v>
      </c>
      <c r="F1271" s="2"/>
    </row>
    <row r="1272" spans="1:6" ht="24.95" customHeight="1" x14ac:dyDescent="0.4">
      <c r="A1272" s="2" t="s">
        <v>2250</v>
      </c>
      <c r="B1272" s="1" t="s">
        <v>1269</v>
      </c>
      <c r="C1272" s="1" t="str">
        <f>"東広島市西条御条町4-19"</f>
        <v>東広島市西条御条町4-19</v>
      </c>
      <c r="D1272" s="1" t="s">
        <v>67</v>
      </c>
      <c r="E1272" s="3">
        <v>46356</v>
      </c>
      <c r="F1272" s="2"/>
    </row>
    <row r="1273" spans="1:6" ht="24.95" customHeight="1" x14ac:dyDescent="0.4">
      <c r="A1273" s="2" t="s">
        <v>423</v>
      </c>
      <c r="B1273" s="1" t="s">
        <v>1112</v>
      </c>
      <c r="C1273" s="1" t="str">
        <f t="shared" ref="C1273:C1279" si="30">"東広島市西条昭和町12-40"</f>
        <v>東広島市西条昭和町12-40</v>
      </c>
      <c r="D1273" s="1" t="s">
        <v>531</v>
      </c>
      <c r="E1273" s="3">
        <v>47087</v>
      </c>
      <c r="F1273" s="2"/>
    </row>
    <row r="1274" spans="1:6" ht="24.95" customHeight="1" x14ac:dyDescent="0.4">
      <c r="A1274" s="2" t="s">
        <v>1114</v>
      </c>
      <c r="B1274" s="1" t="s">
        <v>1112</v>
      </c>
      <c r="C1274" s="1" t="str">
        <f t="shared" si="30"/>
        <v>東広島市西条昭和町12-40</v>
      </c>
      <c r="D1274" s="1" t="s">
        <v>531</v>
      </c>
      <c r="E1274" s="3">
        <v>47087</v>
      </c>
      <c r="F1274" s="2"/>
    </row>
    <row r="1275" spans="1:6" ht="24.95" customHeight="1" x14ac:dyDescent="0.4">
      <c r="A1275" s="2" t="s">
        <v>1125</v>
      </c>
      <c r="B1275" s="1" t="s">
        <v>1112</v>
      </c>
      <c r="C1275" s="1" t="str">
        <f t="shared" si="30"/>
        <v>東広島市西条昭和町12-40</v>
      </c>
      <c r="D1275" s="1" t="s">
        <v>531</v>
      </c>
      <c r="E1275" s="3">
        <v>47087</v>
      </c>
      <c r="F1275" s="2"/>
    </row>
    <row r="1276" spans="1:6" ht="24.95" customHeight="1" x14ac:dyDescent="0.4">
      <c r="A1276" s="2" t="s">
        <v>1126</v>
      </c>
      <c r="B1276" s="1" t="s">
        <v>1112</v>
      </c>
      <c r="C1276" s="1" t="str">
        <f t="shared" si="30"/>
        <v>東広島市西条昭和町12-40</v>
      </c>
      <c r="D1276" s="1" t="s">
        <v>1127</v>
      </c>
      <c r="E1276" s="3">
        <v>47087</v>
      </c>
      <c r="F1276" s="2"/>
    </row>
    <row r="1277" spans="1:6" ht="24.95" customHeight="1" x14ac:dyDescent="0.4">
      <c r="A1277" s="2" t="s">
        <v>1279</v>
      </c>
      <c r="B1277" s="1" t="s">
        <v>1112</v>
      </c>
      <c r="C1277" s="1" t="str">
        <f t="shared" si="30"/>
        <v>東広島市西条昭和町12-40</v>
      </c>
      <c r="D1277" s="1" t="s">
        <v>2084</v>
      </c>
      <c r="E1277" s="3">
        <v>46356</v>
      </c>
      <c r="F1277" s="2"/>
    </row>
    <row r="1278" spans="1:6" ht="24.95" customHeight="1" x14ac:dyDescent="0.4">
      <c r="A1278" s="2" t="s">
        <v>889</v>
      </c>
      <c r="B1278" s="1" t="s">
        <v>1112</v>
      </c>
      <c r="C1278" s="1" t="str">
        <f t="shared" si="30"/>
        <v>東広島市西条昭和町12-40</v>
      </c>
      <c r="D1278" s="1" t="s">
        <v>531</v>
      </c>
      <c r="E1278" s="3">
        <v>47087</v>
      </c>
      <c r="F1278" s="2"/>
    </row>
    <row r="1279" spans="1:6" ht="24.95" customHeight="1" x14ac:dyDescent="0.4">
      <c r="A1279" s="2" t="s">
        <v>2289</v>
      </c>
      <c r="B1279" s="1" t="s">
        <v>1112</v>
      </c>
      <c r="C1279" s="1" t="str">
        <f t="shared" si="30"/>
        <v>東広島市西条昭和町12-40</v>
      </c>
      <c r="D1279" s="1" t="s">
        <v>30</v>
      </c>
      <c r="E1279" s="3">
        <v>47087</v>
      </c>
      <c r="F1279" s="2"/>
    </row>
    <row r="1280" spans="1:6" ht="24.95" customHeight="1" x14ac:dyDescent="0.4">
      <c r="A1280" s="2" t="s">
        <v>952</v>
      </c>
      <c r="B1280" s="1" t="s">
        <v>100</v>
      </c>
      <c r="C1280" s="1" t="str">
        <f>"東広島市西条上市町5-5-3D"</f>
        <v>東広島市西条上市町5-5-3D</v>
      </c>
      <c r="D1280" s="1" t="s">
        <v>561</v>
      </c>
      <c r="E1280" s="3">
        <v>47087</v>
      </c>
      <c r="F1280" s="2"/>
    </row>
    <row r="1281" spans="1:6" ht="24.95" customHeight="1" x14ac:dyDescent="0.4">
      <c r="A1281" s="2" t="s">
        <v>2709</v>
      </c>
      <c r="B1281" s="1" t="s">
        <v>2710</v>
      </c>
      <c r="C1281" s="1" t="str">
        <f>"東広島市西条西本町25-29"</f>
        <v>東広島市西条西本町25-29</v>
      </c>
      <c r="D1281" s="1" t="s">
        <v>30</v>
      </c>
      <c r="E1281" s="3">
        <v>45991</v>
      </c>
      <c r="F1281" s="2"/>
    </row>
    <row r="1282" spans="1:6" ht="24.95" customHeight="1" x14ac:dyDescent="0.4">
      <c r="A1282" s="2" t="s">
        <v>1670</v>
      </c>
      <c r="B1282" s="1" t="s">
        <v>1671</v>
      </c>
      <c r="C1282" s="1" t="str">
        <f>"東広島市西条西本町27-28"</f>
        <v>東広島市西条西本町27-28</v>
      </c>
      <c r="D1282" s="1" t="s">
        <v>471</v>
      </c>
      <c r="E1282" s="3">
        <v>47087</v>
      </c>
      <c r="F1282" s="2"/>
    </row>
    <row r="1283" spans="1:6" ht="24.95" customHeight="1" x14ac:dyDescent="0.4">
      <c r="A1283" s="2" t="s">
        <v>673</v>
      </c>
      <c r="B1283" s="1" t="s">
        <v>80</v>
      </c>
      <c r="C1283" s="1" t="str">
        <f>"東広島市西条西本町28-30"</f>
        <v>東広島市西条西本町28-30</v>
      </c>
      <c r="D1283" s="1" t="s">
        <v>561</v>
      </c>
      <c r="E1283" s="3">
        <v>47087</v>
      </c>
      <c r="F1283" s="2"/>
    </row>
    <row r="1284" spans="1:6" ht="24.95" customHeight="1" x14ac:dyDescent="0.4">
      <c r="A1284" s="2" t="s">
        <v>0</v>
      </c>
      <c r="B1284" s="1" t="s">
        <v>80</v>
      </c>
      <c r="C1284" s="1" t="str">
        <f>"東広島市西条西本町28-30"</f>
        <v>東広島市西条西本町28-30</v>
      </c>
      <c r="D1284" s="1" t="s">
        <v>586</v>
      </c>
      <c r="E1284" s="3">
        <v>47087</v>
      </c>
      <c r="F1284" s="2"/>
    </row>
    <row r="1285" spans="1:6" ht="24.95" customHeight="1" x14ac:dyDescent="0.4">
      <c r="A1285" s="2" t="s">
        <v>855</v>
      </c>
      <c r="B1285" s="1" t="s">
        <v>856</v>
      </c>
      <c r="C1285" s="1" t="str">
        <f>"東広島市西条中央3-5-38"</f>
        <v>東広島市西条中央3-5-38</v>
      </c>
      <c r="D1285" s="1" t="s">
        <v>139</v>
      </c>
      <c r="E1285" s="3">
        <v>47087</v>
      </c>
      <c r="F1285" s="2"/>
    </row>
    <row r="1286" spans="1:6" ht="24.95" customHeight="1" x14ac:dyDescent="0.4">
      <c r="A1286" s="2" t="s">
        <v>902</v>
      </c>
      <c r="B1286" s="1" t="s">
        <v>453</v>
      </c>
      <c r="C1286" s="1" t="str">
        <f>"東広島市西条中央3-5-6"</f>
        <v>東広島市西条中央3-5-6</v>
      </c>
      <c r="D1286" s="1" t="s">
        <v>324</v>
      </c>
      <c r="E1286" s="3">
        <v>47087</v>
      </c>
      <c r="F1286" s="2"/>
    </row>
    <row r="1287" spans="1:6" ht="24.95" customHeight="1" x14ac:dyDescent="0.4">
      <c r="A1287" s="2" t="s">
        <v>1048</v>
      </c>
      <c r="B1287" s="1" t="s">
        <v>1049</v>
      </c>
      <c r="C1287" s="1" t="str">
        <f>"東広島市西条中央5-4-1"</f>
        <v>東広島市西条中央5-4-1</v>
      </c>
      <c r="D1287" s="1" t="s">
        <v>192</v>
      </c>
      <c r="E1287" s="3">
        <v>47087</v>
      </c>
      <c r="F1287" s="2"/>
    </row>
    <row r="1288" spans="1:6" ht="24.95" customHeight="1" x14ac:dyDescent="0.4">
      <c r="A1288" s="2" t="s">
        <v>2309</v>
      </c>
      <c r="B1288" s="1" t="s">
        <v>2310</v>
      </c>
      <c r="C1288" s="1" t="str">
        <f>"東広島市西条中央7-1-17"</f>
        <v>東広島市西条中央7-1-17</v>
      </c>
      <c r="D1288" s="1" t="s">
        <v>950</v>
      </c>
      <c r="E1288" s="3">
        <v>47087</v>
      </c>
      <c r="F1288" s="2"/>
    </row>
    <row r="1289" spans="1:6" ht="24.95" customHeight="1" x14ac:dyDescent="0.4">
      <c r="A1289" s="2" t="s">
        <v>1374</v>
      </c>
      <c r="B1289" s="1" t="s">
        <v>2310</v>
      </c>
      <c r="C1289" s="1" t="str">
        <f>"東広島市西条中央7-1-17"</f>
        <v>東広島市西条中央7-1-17</v>
      </c>
      <c r="D1289" s="1" t="s">
        <v>279</v>
      </c>
      <c r="E1289" s="3">
        <v>45991</v>
      </c>
      <c r="F1289" s="2"/>
    </row>
    <row r="1290" spans="1:6" ht="24.95" customHeight="1" x14ac:dyDescent="0.4">
      <c r="A1290" s="2" t="s">
        <v>308</v>
      </c>
      <c r="B1290" s="1" t="s">
        <v>311</v>
      </c>
      <c r="C1290" s="1" t="str">
        <f>"東広島市西条中央7-3-45"</f>
        <v>東広島市西条中央7-3-45</v>
      </c>
      <c r="D1290" s="1" t="s">
        <v>201</v>
      </c>
      <c r="E1290" s="3">
        <v>47087</v>
      </c>
      <c r="F1290" s="2"/>
    </row>
    <row r="1291" spans="1:6" ht="24.95" customHeight="1" x14ac:dyDescent="0.4">
      <c r="A1291" s="2" t="s">
        <v>1224</v>
      </c>
      <c r="B1291" s="1" t="s">
        <v>1226</v>
      </c>
      <c r="C1291" s="1" t="str">
        <f>"東広島市西条中央7-3-45"</f>
        <v>東広島市西条中央7-3-45</v>
      </c>
      <c r="D1291" s="1" t="s">
        <v>104</v>
      </c>
      <c r="E1291" s="3">
        <v>47087</v>
      </c>
      <c r="F1291" s="2"/>
    </row>
    <row r="1292" spans="1:6" ht="24.95" customHeight="1" x14ac:dyDescent="0.4">
      <c r="A1292" s="2" t="s">
        <v>2558</v>
      </c>
      <c r="B1292" s="1" t="s">
        <v>2700</v>
      </c>
      <c r="C1292" s="1" t="str">
        <f>"東広島市西条町下三永字向原10354-1"</f>
        <v>東広島市西条町下三永字向原10354-1</v>
      </c>
      <c r="D1292" s="1" t="s">
        <v>1027</v>
      </c>
      <c r="E1292" s="3">
        <v>45991</v>
      </c>
      <c r="F1292" s="2"/>
    </row>
    <row r="1293" spans="1:6" ht="24.95" customHeight="1" x14ac:dyDescent="0.4">
      <c r="A1293" s="2" t="s">
        <v>151</v>
      </c>
      <c r="B1293" s="1" t="s">
        <v>564</v>
      </c>
      <c r="C1293" s="1" t="s">
        <v>78</v>
      </c>
      <c r="D1293" s="1" t="s">
        <v>364</v>
      </c>
      <c r="E1293" s="3">
        <v>47087</v>
      </c>
      <c r="F1293" s="2"/>
    </row>
    <row r="1294" spans="1:6" ht="24.95" customHeight="1" x14ac:dyDescent="0.4">
      <c r="A1294" s="2" t="s">
        <v>123</v>
      </c>
      <c r="B1294" s="1" t="s">
        <v>564</v>
      </c>
      <c r="C1294" s="1" t="s">
        <v>78</v>
      </c>
      <c r="D1294" s="1" t="s">
        <v>364</v>
      </c>
      <c r="E1294" s="3">
        <v>47087</v>
      </c>
      <c r="F1294" s="2"/>
    </row>
    <row r="1295" spans="1:6" ht="24.95" customHeight="1" x14ac:dyDescent="0.4">
      <c r="A1295" s="2" t="s">
        <v>39</v>
      </c>
      <c r="B1295" s="1" t="s">
        <v>564</v>
      </c>
      <c r="C1295" s="1" t="s">
        <v>78</v>
      </c>
      <c r="D1295" s="1" t="s">
        <v>364</v>
      </c>
      <c r="E1295" s="3">
        <v>47087</v>
      </c>
      <c r="F1295" s="2"/>
    </row>
    <row r="1296" spans="1:6" ht="24.95" customHeight="1" x14ac:dyDescent="0.4">
      <c r="A1296" s="2" t="s">
        <v>2421</v>
      </c>
      <c r="B1296" s="1" t="s">
        <v>564</v>
      </c>
      <c r="C1296" s="1" t="s">
        <v>78</v>
      </c>
      <c r="D1296" s="1" t="s">
        <v>364</v>
      </c>
      <c r="E1296" s="3">
        <v>45991</v>
      </c>
      <c r="F1296" s="2"/>
    </row>
    <row r="1297" spans="1:6" ht="24.95" customHeight="1" x14ac:dyDescent="0.4">
      <c r="A1297" s="2" t="s">
        <v>837</v>
      </c>
      <c r="B1297" s="1" t="s">
        <v>564</v>
      </c>
      <c r="C1297" s="1" t="s">
        <v>78</v>
      </c>
      <c r="D1297" s="1" t="s">
        <v>364</v>
      </c>
      <c r="E1297" s="3">
        <v>46721</v>
      </c>
      <c r="F1297" s="2"/>
    </row>
    <row r="1298" spans="1:6" ht="24.95" customHeight="1" x14ac:dyDescent="0.4">
      <c r="A1298" s="2" t="s">
        <v>1099</v>
      </c>
      <c r="B1298" s="1" t="s">
        <v>1100</v>
      </c>
      <c r="C1298" s="1" t="str">
        <f>"東広島市西条町御薗宇2421-4"</f>
        <v>東広島市西条町御薗宇2421-4</v>
      </c>
      <c r="D1298" s="1" t="s">
        <v>30</v>
      </c>
      <c r="E1298" s="3">
        <v>47087</v>
      </c>
      <c r="F1298" s="2"/>
    </row>
    <row r="1299" spans="1:6" ht="24.95" customHeight="1" x14ac:dyDescent="0.4">
      <c r="A1299" s="2" t="s">
        <v>617</v>
      </c>
      <c r="B1299" s="1" t="s">
        <v>591</v>
      </c>
      <c r="C1299" s="1" t="str">
        <f>"東広島市西条町御薗宇4281-1"</f>
        <v>東広島市西条町御薗宇4281-1</v>
      </c>
      <c r="D1299" s="1" t="s">
        <v>103</v>
      </c>
      <c r="E1299" s="3">
        <v>47087</v>
      </c>
      <c r="F1299" s="2"/>
    </row>
    <row r="1300" spans="1:6" ht="24.95" customHeight="1" x14ac:dyDescent="0.4">
      <c r="A1300" s="2" t="s">
        <v>1009</v>
      </c>
      <c r="B1300" s="1" t="s">
        <v>1010</v>
      </c>
      <c r="C1300" s="1" t="str">
        <f>"東広島市西条町御薗宇4281-1"</f>
        <v>東広島市西条町御薗宇4281-1</v>
      </c>
      <c r="D1300" s="1" t="s">
        <v>58</v>
      </c>
      <c r="E1300" s="3">
        <v>47087</v>
      </c>
      <c r="F1300" s="2"/>
    </row>
    <row r="1301" spans="1:6" ht="24.95" customHeight="1" x14ac:dyDescent="0.4">
      <c r="A1301" s="2" t="s">
        <v>2538</v>
      </c>
      <c r="B1301" s="1" t="s">
        <v>1627</v>
      </c>
      <c r="C1301" s="1" t="str">
        <f>"東広島市西条町御薗宇5489-5"</f>
        <v>東広島市西条町御薗宇5489-5</v>
      </c>
      <c r="D1301" s="1" t="s">
        <v>2222</v>
      </c>
      <c r="E1301" s="3">
        <v>47087</v>
      </c>
      <c r="F1301" s="2"/>
    </row>
    <row r="1302" spans="1:6" ht="24.95" customHeight="1" x14ac:dyDescent="0.4">
      <c r="A1302" s="2" t="s">
        <v>2552</v>
      </c>
      <c r="B1302" s="1" t="s">
        <v>2273</v>
      </c>
      <c r="C1302" s="1" t="s">
        <v>2743</v>
      </c>
      <c r="D1302" s="1" t="s">
        <v>1159</v>
      </c>
      <c r="E1302" s="3">
        <v>45626</v>
      </c>
      <c r="F1302" s="2"/>
    </row>
    <row r="1303" spans="1:6" ht="24.95" customHeight="1" x14ac:dyDescent="0.4">
      <c r="A1303" s="2" t="s">
        <v>1850</v>
      </c>
      <c r="B1303" s="1" t="s">
        <v>1812</v>
      </c>
      <c r="C1303" s="1" t="str">
        <f>"東広島市西条町御薗宇8537-1"</f>
        <v>東広島市西条町御薗宇8537-1</v>
      </c>
      <c r="D1303" s="1" t="s">
        <v>179</v>
      </c>
      <c r="E1303" s="3">
        <v>47087</v>
      </c>
      <c r="F1303" s="2"/>
    </row>
    <row r="1304" spans="1:6" ht="24.95" customHeight="1" x14ac:dyDescent="0.4">
      <c r="A1304" s="2" t="s">
        <v>2166</v>
      </c>
      <c r="B1304" s="1" t="s">
        <v>2167</v>
      </c>
      <c r="C1304" s="1" t="s">
        <v>1367</v>
      </c>
      <c r="D1304" s="1" t="s">
        <v>324</v>
      </c>
      <c r="E1304" s="3">
        <v>47087</v>
      </c>
      <c r="F1304" s="2"/>
    </row>
    <row r="1305" spans="1:6" ht="24.95" customHeight="1" x14ac:dyDescent="0.4">
      <c r="A1305" s="2" t="s">
        <v>1175</v>
      </c>
      <c r="B1305" s="1" t="s">
        <v>718</v>
      </c>
      <c r="C1305" s="1" t="s">
        <v>1176</v>
      </c>
      <c r="D1305" s="1" t="s">
        <v>103</v>
      </c>
      <c r="E1305" s="3">
        <v>47087</v>
      </c>
      <c r="F1305" s="2"/>
    </row>
    <row r="1306" spans="1:6" ht="24.95" customHeight="1" x14ac:dyDescent="0.4">
      <c r="A1306" s="2" t="s">
        <v>1813</v>
      </c>
      <c r="B1306" s="1" t="s">
        <v>718</v>
      </c>
      <c r="C1306" s="1" t="s">
        <v>1176</v>
      </c>
      <c r="D1306" s="1" t="s">
        <v>103</v>
      </c>
      <c r="E1306" s="3">
        <v>47087</v>
      </c>
      <c r="F1306" s="2"/>
    </row>
    <row r="1307" spans="1:6" ht="24.95" customHeight="1" x14ac:dyDescent="0.4">
      <c r="A1307" s="2" t="s">
        <v>640</v>
      </c>
      <c r="B1307" s="1" t="s">
        <v>968</v>
      </c>
      <c r="C1307" s="1" t="s">
        <v>115</v>
      </c>
      <c r="D1307" s="1" t="s">
        <v>950</v>
      </c>
      <c r="E1307" s="3">
        <v>47087</v>
      </c>
      <c r="F1307" s="2"/>
    </row>
    <row r="1308" spans="1:6" ht="24.95" customHeight="1" x14ac:dyDescent="0.4">
      <c r="A1308" s="2" t="s">
        <v>299</v>
      </c>
      <c r="B1308" s="1" t="s">
        <v>968</v>
      </c>
      <c r="C1308" s="1" t="s">
        <v>115</v>
      </c>
      <c r="D1308" s="1" t="s">
        <v>950</v>
      </c>
      <c r="E1308" s="3">
        <v>47087</v>
      </c>
      <c r="F1308" s="2"/>
    </row>
    <row r="1309" spans="1:6" ht="24.95" customHeight="1" x14ac:dyDescent="0.4">
      <c r="A1309" s="2" t="s">
        <v>659</v>
      </c>
      <c r="B1309" s="1" t="s">
        <v>968</v>
      </c>
      <c r="C1309" s="1" t="s">
        <v>115</v>
      </c>
      <c r="D1309" s="1" t="s">
        <v>104</v>
      </c>
      <c r="E1309" s="3">
        <v>47087</v>
      </c>
      <c r="F1309" s="2"/>
    </row>
    <row r="1310" spans="1:6" ht="24.95" customHeight="1" x14ac:dyDescent="0.4">
      <c r="A1310" s="2" t="s">
        <v>1491</v>
      </c>
      <c r="B1310" s="1" t="s">
        <v>968</v>
      </c>
      <c r="C1310" s="1" t="s">
        <v>115</v>
      </c>
      <c r="D1310" s="1" t="s">
        <v>104</v>
      </c>
      <c r="E1310" s="3">
        <v>47087</v>
      </c>
      <c r="F1310" s="2"/>
    </row>
    <row r="1311" spans="1:6" ht="24.95" customHeight="1" x14ac:dyDescent="0.4">
      <c r="A1311" s="2" t="s">
        <v>1498</v>
      </c>
      <c r="B1311" s="1" t="s">
        <v>968</v>
      </c>
      <c r="C1311" s="1" t="s">
        <v>115</v>
      </c>
      <c r="D1311" s="1" t="s">
        <v>179</v>
      </c>
      <c r="E1311" s="3">
        <v>47087</v>
      </c>
      <c r="F1311" s="2"/>
    </row>
    <row r="1312" spans="1:6" ht="24.95" customHeight="1" x14ac:dyDescent="0.4">
      <c r="A1312" s="2" t="s">
        <v>560</v>
      </c>
      <c r="B1312" s="1" t="s">
        <v>968</v>
      </c>
      <c r="C1312" s="1" t="s">
        <v>115</v>
      </c>
      <c r="D1312" s="1" t="s">
        <v>240</v>
      </c>
      <c r="E1312" s="3">
        <v>47087</v>
      </c>
      <c r="F1312" s="2"/>
    </row>
    <row r="1313" spans="1:6" ht="24.95" customHeight="1" x14ac:dyDescent="0.4">
      <c r="A1313" s="2" t="s">
        <v>1503</v>
      </c>
      <c r="B1313" s="1" t="s">
        <v>968</v>
      </c>
      <c r="C1313" s="1" t="s">
        <v>115</v>
      </c>
      <c r="D1313" s="1" t="s">
        <v>324</v>
      </c>
      <c r="E1313" s="3">
        <v>47087</v>
      </c>
      <c r="F1313" s="2"/>
    </row>
    <row r="1314" spans="1:6" ht="24.95" customHeight="1" x14ac:dyDescent="0.4">
      <c r="A1314" s="2" t="s">
        <v>739</v>
      </c>
      <c r="B1314" s="1" t="s">
        <v>968</v>
      </c>
      <c r="C1314" s="1" t="s">
        <v>115</v>
      </c>
      <c r="D1314" s="1" t="s">
        <v>122</v>
      </c>
      <c r="E1314" s="3">
        <v>47087</v>
      </c>
      <c r="F1314" s="2"/>
    </row>
    <row r="1315" spans="1:6" ht="24.95" customHeight="1" x14ac:dyDescent="0.4">
      <c r="A1315" s="2" t="s">
        <v>1504</v>
      </c>
      <c r="B1315" s="1" t="s">
        <v>968</v>
      </c>
      <c r="C1315" s="1" t="s">
        <v>115</v>
      </c>
      <c r="D1315" s="1" t="s">
        <v>955</v>
      </c>
      <c r="E1315" s="3">
        <v>47087</v>
      </c>
      <c r="F1315" s="2"/>
    </row>
    <row r="1316" spans="1:6" ht="24.95" customHeight="1" x14ac:dyDescent="0.4">
      <c r="A1316" s="2" t="s">
        <v>577</v>
      </c>
      <c r="B1316" s="1" t="s">
        <v>968</v>
      </c>
      <c r="C1316" s="1" t="s">
        <v>115</v>
      </c>
      <c r="D1316" s="1" t="s">
        <v>240</v>
      </c>
      <c r="E1316" s="3">
        <v>47087</v>
      </c>
      <c r="F1316" s="2"/>
    </row>
    <row r="1317" spans="1:6" ht="24.95" customHeight="1" x14ac:dyDescent="0.4">
      <c r="A1317" s="2" t="s">
        <v>825</v>
      </c>
      <c r="B1317" s="1" t="s">
        <v>968</v>
      </c>
      <c r="C1317" s="1" t="s">
        <v>115</v>
      </c>
      <c r="D1317" s="1" t="s">
        <v>950</v>
      </c>
      <c r="E1317" s="3">
        <v>47087</v>
      </c>
      <c r="F1317" s="2"/>
    </row>
    <row r="1318" spans="1:6" ht="24.95" customHeight="1" x14ac:dyDescent="0.4">
      <c r="A1318" s="2" t="s">
        <v>145</v>
      </c>
      <c r="B1318" s="1" t="s">
        <v>968</v>
      </c>
      <c r="C1318" s="1" t="s">
        <v>115</v>
      </c>
      <c r="D1318" s="1" t="s">
        <v>344</v>
      </c>
      <c r="E1318" s="3">
        <v>47087</v>
      </c>
      <c r="F1318" s="2"/>
    </row>
    <row r="1319" spans="1:6" ht="24.95" customHeight="1" x14ac:dyDescent="0.4">
      <c r="A1319" s="2" t="s">
        <v>1720</v>
      </c>
      <c r="B1319" s="1" t="s">
        <v>968</v>
      </c>
      <c r="C1319" s="1" t="s">
        <v>115</v>
      </c>
      <c r="D1319" s="1" t="s">
        <v>324</v>
      </c>
      <c r="E1319" s="3">
        <v>47087</v>
      </c>
      <c r="F1319" s="2"/>
    </row>
    <row r="1320" spans="1:6" ht="24.95" customHeight="1" x14ac:dyDescent="0.4">
      <c r="A1320" s="2" t="s">
        <v>1728</v>
      </c>
      <c r="B1320" s="1" t="s">
        <v>968</v>
      </c>
      <c r="C1320" s="1" t="s">
        <v>115</v>
      </c>
      <c r="D1320" s="1" t="s">
        <v>955</v>
      </c>
      <c r="E1320" s="3">
        <v>47087</v>
      </c>
      <c r="F1320" s="2"/>
    </row>
    <row r="1321" spans="1:6" ht="24.95" customHeight="1" x14ac:dyDescent="0.4">
      <c r="A1321" s="2" t="s">
        <v>1736</v>
      </c>
      <c r="B1321" s="1" t="s">
        <v>968</v>
      </c>
      <c r="C1321" s="1" t="s">
        <v>115</v>
      </c>
      <c r="D1321" s="1" t="s">
        <v>79</v>
      </c>
      <c r="E1321" s="3">
        <v>47087</v>
      </c>
      <c r="F1321" s="2"/>
    </row>
    <row r="1322" spans="1:6" ht="24.95" customHeight="1" x14ac:dyDescent="0.4">
      <c r="A1322" s="2" t="s">
        <v>1576</v>
      </c>
      <c r="B1322" s="1" t="s">
        <v>968</v>
      </c>
      <c r="C1322" s="1" t="s">
        <v>115</v>
      </c>
      <c r="D1322" s="1" t="s">
        <v>286</v>
      </c>
      <c r="E1322" s="3">
        <v>47087</v>
      </c>
      <c r="F1322" s="2"/>
    </row>
    <row r="1323" spans="1:6" ht="24.95" customHeight="1" x14ac:dyDescent="0.4">
      <c r="A1323" s="2" t="s">
        <v>862</v>
      </c>
      <c r="B1323" s="1" t="s">
        <v>968</v>
      </c>
      <c r="C1323" s="1" t="s">
        <v>115</v>
      </c>
      <c r="D1323" s="1" t="s">
        <v>88</v>
      </c>
      <c r="E1323" s="3">
        <v>47087</v>
      </c>
      <c r="F1323" s="2"/>
    </row>
    <row r="1324" spans="1:6" ht="24.95" customHeight="1" x14ac:dyDescent="0.4">
      <c r="A1324" s="2" t="s">
        <v>1882</v>
      </c>
      <c r="B1324" s="1" t="s">
        <v>968</v>
      </c>
      <c r="C1324" s="1" t="s">
        <v>115</v>
      </c>
      <c r="D1324" s="1" t="s">
        <v>79</v>
      </c>
      <c r="E1324" s="3">
        <v>47087</v>
      </c>
      <c r="F1324" s="2"/>
    </row>
    <row r="1325" spans="1:6" ht="24.95" customHeight="1" x14ac:dyDescent="0.4">
      <c r="A1325" s="2" t="s">
        <v>1990</v>
      </c>
      <c r="B1325" s="1" t="s">
        <v>968</v>
      </c>
      <c r="C1325" s="1" t="s">
        <v>115</v>
      </c>
      <c r="D1325" s="1" t="s">
        <v>955</v>
      </c>
      <c r="E1325" s="3">
        <v>47087</v>
      </c>
      <c r="F1325" s="2"/>
    </row>
    <row r="1326" spans="1:6" ht="24.95" customHeight="1" x14ac:dyDescent="0.4">
      <c r="A1326" s="2" t="s">
        <v>1893</v>
      </c>
      <c r="B1326" s="1" t="s">
        <v>968</v>
      </c>
      <c r="C1326" s="1" t="s">
        <v>115</v>
      </c>
      <c r="D1326" s="1" t="s">
        <v>324</v>
      </c>
      <c r="E1326" s="3">
        <v>47087</v>
      </c>
      <c r="F1326" s="2"/>
    </row>
    <row r="1327" spans="1:6" ht="24.95" customHeight="1" x14ac:dyDescent="0.4">
      <c r="A1327" s="2" t="s">
        <v>2229</v>
      </c>
      <c r="B1327" s="1" t="s">
        <v>968</v>
      </c>
      <c r="C1327" s="1" t="s">
        <v>115</v>
      </c>
      <c r="D1327" s="1" t="s">
        <v>1027</v>
      </c>
      <c r="E1327" s="3">
        <v>46356</v>
      </c>
      <c r="F1327" s="2"/>
    </row>
    <row r="1328" spans="1:6" ht="24.95" customHeight="1" x14ac:dyDescent="0.4">
      <c r="A1328" s="2" t="s">
        <v>2231</v>
      </c>
      <c r="B1328" s="1" t="s">
        <v>968</v>
      </c>
      <c r="C1328" s="1" t="s">
        <v>115</v>
      </c>
      <c r="D1328" s="1" t="s">
        <v>179</v>
      </c>
      <c r="E1328" s="3">
        <v>46356</v>
      </c>
      <c r="F1328" s="2"/>
    </row>
    <row r="1329" spans="1:6" ht="24.95" customHeight="1" x14ac:dyDescent="0.4">
      <c r="A1329" s="2" t="s">
        <v>2237</v>
      </c>
      <c r="B1329" s="1" t="s">
        <v>968</v>
      </c>
      <c r="C1329" s="1" t="s">
        <v>115</v>
      </c>
      <c r="D1329" s="1" t="s">
        <v>122</v>
      </c>
      <c r="E1329" s="3">
        <v>46356</v>
      </c>
      <c r="F1329" s="2"/>
    </row>
    <row r="1330" spans="1:6" ht="24.95" customHeight="1" x14ac:dyDescent="0.4">
      <c r="A1330" s="2" t="s">
        <v>2277</v>
      </c>
      <c r="B1330" s="1" t="s">
        <v>968</v>
      </c>
      <c r="C1330" s="1" t="s">
        <v>115</v>
      </c>
      <c r="D1330" s="1" t="s">
        <v>576</v>
      </c>
      <c r="E1330" s="3">
        <v>46721</v>
      </c>
      <c r="F1330" s="2"/>
    </row>
    <row r="1331" spans="1:6" ht="24.95" customHeight="1" x14ac:dyDescent="0.4">
      <c r="A1331" s="2" t="s">
        <v>1673</v>
      </c>
      <c r="B1331" s="1" t="s">
        <v>968</v>
      </c>
      <c r="C1331" s="1" t="s">
        <v>115</v>
      </c>
      <c r="D1331" s="1" t="s">
        <v>133</v>
      </c>
      <c r="E1331" s="3">
        <v>46721</v>
      </c>
      <c r="F1331" s="2"/>
    </row>
    <row r="1332" spans="1:6" ht="24.95" customHeight="1" x14ac:dyDescent="0.4">
      <c r="A1332" s="2" t="s">
        <v>353</v>
      </c>
      <c r="B1332" s="1" t="s">
        <v>968</v>
      </c>
      <c r="C1332" s="1" t="s">
        <v>115</v>
      </c>
      <c r="D1332" s="1" t="s">
        <v>2066</v>
      </c>
      <c r="E1332" s="3">
        <v>46721</v>
      </c>
      <c r="F1332" s="2"/>
    </row>
    <row r="1333" spans="1:6" ht="24.95" customHeight="1" x14ac:dyDescent="0.4">
      <c r="A1333" s="2" t="s">
        <v>2293</v>
      </c>
      <c r="B1333" s="1" t="s">
        <v>968</v>
      </c>
      <c r="C1333" s="1" t="s">
        <v>115</v>
      </c>
      <c r="D1333" s="1" t="s">
        <v>2194</v>
      </c>
      <c r="E1333" s="3">
        <v>46721</v>
      </c>
      <c r="F1333" s="2"/>
    </row>
    <row r="1334" spans="1:6" ht="24.95" customHeight="1" x14ac:dyDescent="0.4">
      <c r="A1334" s="2" t="s">
        <v>2307</v>
      </c>
      <c r="B1334" s="1" t="s">
        <v>968</v>
      </c>
      <c r="C1334" s="1" t="s">
        <v>115</v>
      </c>
      <c r="D1334" s="1" t="s">
        <v>179</v>
      </c>
      <c r="E1334" s="3">
        <v>47087</v>
      </c>
      <c r="F1334" s="2"/>
    </row>
    <row r="1335" spans="1:6" ht="24.95" customHeight="1" x14ac:dyDescent="0.4">
      <c r="A1335" s="2" t="s">
        <v>2343</v>
      </c>
      <c r="B1335" s="1" t="s">
        <v>968</v>
      </c>
      <c r="C1335" s="1" t="s">
        <v>115</v>
      </c>
      <c r="D1335" s="1" t="s">
        <v>796</v>
      </c>
      <c r="E1335" s="3">
        <v>47087</v>
      </c>
      <c r="F1335" s="2"/>
    </row>
    <row r="1336" spans="1:6" ht="24.95" customHeight="1" x14ac:dyDescent="0.4">
      <c r="A1336" s="2" t="s">
        <v>884</v>
      </c>
      <c r="B1336" s="1" t="s">
        <v>968</v>
      </c>
      <c r="C1336" s="1" t="s">
        <v>115</v>
      </c>
      <c r="D1336" s="1" t="s">
        <v>796</v>
      </c>
      <c r="E1336" s="3">
        <v>47087</v>
      </c>
      <c r="F1336" s="2"/>
    </row>
    <row r="1337" spans="1:6" ht="24.95" customHeight="1" x14ac:dyDescent="0.4">
      <c r="A1337" s="2" t="s">
        <v>2363</v>
      </c>
      <c r="B1337" s="1" t="s">
        <v>968</v>
      </c>
      <c r="C1337" s="1" t="s">
        <v>115</v>
      </c>
      <c r="D1337" s="1" t="s">
        <v>240</v>
      </c>
      <c r="E1337" s="3">
        <v>45626</v>
      </c>
      <c r="F1337" s="2"/>
    </row>
    <row r="1338" spans="1:6" ht="24.95" customHeight="1" x14ac:dyDescent="0.4">
      <c r="A1338" s="2" t="s">
        <v>2385</v>
      </c>
      <c r="B1338" s="1" t="s">
        <v>968</v>
      </c>
      <c r="C1338" s="1" t="s">
        <v>115</v>
      </c>
      <c r="D1338" s="1" t="s">
        <v>531</v>
      </c>
      <c r="E1338" s="3">
        <v>45991</v>
      </c>
      <c r="F1338" s="2"/>
    </row>
    <row r="1339" spans="1:6" ht="24.95" customHeight="1" x14ac:dyDescent="0.4">
      <c r="A1339" s="2" t="s">
        <v>2106</v>
      </c>
      <c r="B1339" s="1" t="s">
        <v>968</v>
      </c>
      <c r="C1339" s="1" t="s">
        <v>115</v>
      </c>
      <c r="D1339" s="1" t="s">
        <v>179</v>
      </c>
      <c r="E1339" s="3">
        <v>46356</v>
      </c>
      <c r="F1339" s="2"/>
    </row>
    <row r="1340" spans="1:6" ht="24.95" customHeight="1" x14ac:dyDescent="0.4">
      <c r="A1340" s="2" t="s">
        <v>2455</v>
      </c>
      <c r="B1340" s="1" t="s">
        <v>968</v>
      </c>
      <c r="C1340" s="1" t="s">
        <v>115</v>
      </c>
      <c r="D1340" s="1" t="s">
        <v>179</v>
      </c>
      <c r="E1340" s="3">
        <v>46356</v>
      </c>
      <c r="F1340" s="2"/>
    </row>
    <row r="1341" spans="1:6" ht="24.95" customHeight="1" x14ac:dyDescent="0.4">
      <c r="A1341" s="2" t="s">
        <v>2490</v>
      </c>
      <c r="B1341" s="1" t="s">
        <v>968</v>
      </c>
      <c r="C1341" s="1" t="s">
        <v>115</v>
      </c>
      <c r="D1341" s="1" t="s">
        <v>700</v>
      </c>
      <c r="E1341" s="3">
        <v>46721</v>
      </c>
      <c r="F1341" s="2"/>
    </row>
    <row r="1342" spans="1:6" ht="24.95" customHeight="1" x14ac:dyDescent="0.4">
      <c r="A1342" s="2" t="s">
        <v>2521</v>
      </c>
      <c r="B1342" s="1" t="s">
        <v>968</v>
      </c>
      <c r="C1342" s="1" t="s">
        <v>115</v>
      </c>
      <c r="D1342" s="1" t="s">
        <v>1658</v>
      </c>
      <c r="E1342" s="3">
        <v>47087</v>
      </c>
      <c r="F1342" s="2"/>
    </row>
    <row r="1343" spans="1:6" ht="24.95" customHeight="1" x14ac:dyDescent="0.4">
      <c r="A1343" s="2" t="s">
        <v>2268</v>
      </c>
      <c r="B1343" s="1" t="s">
        <v>968</v>
      </c>
      <c r="C1343" s="1" t="s">
        <v>115</v>
      </c>
      <c r="D1343" s="1" t="s">
        <v>104</v>
      </c>
      <c r="E1343" s="3">
        <v>47087</v>
      </c>
      <c r="F1343" s="2"/>
    </row>
    <row r="1344" spans="1:6" ht="24.95" customHeight="1" x14ac:dyDescent="0.4">
      <c r="A1344" s="2" t="s">
        <v>2662</v>
      </c>
      <c r="B1344" s="1" t="s">
        <v>968</v>
      </c>
      <c r="C1344" s="1" t="s">
        <v>115</v>
      </c>
      <c r="D1344" s="1" t="s">
        <v>67</v>
      </c>
      <c r="E1344" s="3">
        <v>47087</v>
      </c>
      <c r="F1344" s="2"/>
    </row>
    <row r="1345" spans="1:6" ht="24.95" customHeight="1" x14ac:dyDescent="0.4">
      <c r="A1345" s="2" t="s">
        <v>495</v>
      </c>
      <c r="B1345" s="1" t="s">
        <v>1193</v>
      </c>
      <c r="C1345" s="1" t="str">
        <f>"東広島市西条町寺家5284-1"</f>
        <v>東広島市西条町寺家5284-1</v>
      </c>
      <c r="D1345" s="1" t="s">
        <v>103</v>
      </c>
      <c r="E1345" s="3">
        <v>47087</v>
      </c>
      <c r="F1345" s="2"/>
    </row>
    <row r="1346" spans="1:6" ht="24.95" customHeight="1" x14ac:dyDescent="0.4">
      <c r="A1346" s="2" t="s">
        <v>1036</v>
      </c>
      <c r="B1346" s="1" t="s">
        <v>668</v>
      </c>
      <c r="C1346" s="1" t="str">
        <f>"東広島市西条町寺家6621-1"</f>
        <v>東広島市西条町寺家6621-1</v>
      </c>
      <c r="D1346" s="1" t="s">
        <v>106</v>
      </c>
      <c r="E1346" s="3">
        <v>47087</v>
      </c>
      <c r="F1346" s="2"/>
    </row>
    <row r="1347" spans="1:6" ht="24.95" customHeight="1" x14ac:dyDescent="0.4">
      <c r="A1347" s="2" t="s">
        <v>472</v>
      </c>
      <c r="B1347" s="1" t="s">
        <v>682</v>
      </c>
      <c r="C1347" s="1" t="str">
        <f>"東広島市西条町寺家7432-1"</f>
        <v>東広島市西条町寺家7432-1</v>
      </c>
      <c r="D1347" s="5" t="s">
        <v>298</v>
      </c>
      <c r="E1347" s="3">
        <v>47087</v>
      </c>
      <c r="F1347" s="2"/>
    </row>
    <row r="1348" spans="1:6" ht="24.95" customHeight="1" x14ac:dyDescent="0.4">
      <c r="A1348" s="2" t="s">
        <v>2507</v>
      </c>
      <c r="B1348" s="1" t="s">
        <v>2508</v>
      </c>
      <c r="C1348" s="1" t="s">
        <v>706</v>
      </c>
      <c r="D1348" s="1" t="s">
        <v>697</v>
      </c>
      <c r="E1348" s="3">
        <v>46721</v>
      </c>
      <c r="F1348" s="2"/>
    </row>
    <row r="1349" spans="1:6" ht="24.95" customHeight="1" x14ac:dyDescent="0.4">
      <c r="A1349" s="2" t="s">
        <v>1288</v>
      </c>
      <c r="B1349" s="1" t="s">
        <v>1289</v>
      </c>
      <c r="C1349" s="1" t="str">
        <f>"東広島市西条町助実1182-1"</f>
        <v>東広島市西条町助実1182-1</v>
      </c>
      <c r="D1349" s="1" t="s">
        <v>103</v>
      </c>
      <c r="E1349" s="3">
        <v>47087</v>
      </c>
      <c r="F1349" s="2"/>
    </row>
    <row r="1350" spans="1:6" ht="24.95" customHeight="1" x14ac:dyDescent="0.4">
      <c r="A1350" s="2" t="s">
        <v>1293</v>
      </c>
      <c r="B1350" s="1" t="s">
        <v>1289</v>
      </c>
      <c r="C1350" s="1" t="str">
        <f>"東広島市西条町助実1182-1"</f>
        <v>東広島市西条町助実1182-1</v>
      </c>
      <c r="D1350" s="1" t="s">
        <v>103</v>
      </c>
      <c r="E1350" s="3">
        <v>47087</v>
      </c>
      <c r="F1350" s="2"/>
    </row>
    <row r="1351" spans="1:6" ht="24.95" customHeight="1" x14ac:dyDescent="0.4">
      <c r="A1351" s="2" t="s">
        <v>2338</v>
      </c>
      <c r="B1351" s="1" t="s">
        <v>1289</v>
      </c>
      <c r="C1351" s="1" t="str">
        <f>"東広島市西条町助実1182-1"</f>
        <v>東広島市西条町助実1182-1</v>
      </c>
      <c r="D1351" s="1" t="s">
        <v>324</v>
      </c>
      <c r="E1351" s="3">
        <v>47087</v>
      </c>
      <c r="F1351" s="2"/>
    </row>
    <row r="1352" spans="1:6" ht="24.95" customHeight="1" x14ac:dyDescent="0.4">
      <c r="A1352" s="2" t="s">
        <v>2440</v>
      </c>
      <c r="B1352" s="1" t="s">
        <v>1289</v>
      </c>
      <c r="C1352" s="1" t="str">
        <f>"東広島市西条町助実1182-1"</f>
        <v>東広島市西条町助実1182-1</v>
      </c>
      <c r="D1352" s="1" t="s">
        <v>103</v>
      </c>
      <c r="E1352" s="3">
        <v>46356</v>
      </c>
      <c r="F1352" s="2"/>
    </row>
    <row r="1353" spans="1:6" ht="24.95" customHeight="1" x14ac:dyDescent="0.4">
      <c r="A1353" s="2" t="s">
        <v>1937</v>
      </c>
      <c r="B1353" s="1" t="s">
        <v>2090</v>
      </c>
      <c r="C1353" s="1" t="str">
        <f>"東広島市西条町西条東1243-4"</f>
        <v>東広島市西条町西条東1243-4</v>
      </c>
      <c r="D1353" s="1" t="s">
        <v>139</v>
      </c>
      <c r="E1353" s="3">
        <v>47087</v>
      </c>
      <c r="F1353" s="2"/>
    </row>
    <row r="1354" spans="1:6" ht="24.95" customHeight="1" x14ac:dyDescent="0.4">
      <c r="A1354" s="2" t="s">
        <v>2208</v>
      </c>
      <c r="B1354" s="1" t="s">
        <v>1285</v>
      </c>
      <c r="C1354" s="1" t="str">
        <f>"東広島市西条町西条東1283-2"</f>
        <v>東広島市西条町西条東1283-2</v>
      </c>
      <c r="D1354" s="1" t="s">
        <v>324</v>
      </c>
      <c r="E1354" s="3">
        <v>45991</v>
      </c>
      <c r="F1354" s="2"/>
    </row>
    <row r="1355" spans="1:6" ht="24.95" customHeight="1" x14ac:dyDescent="0.4">
      <c r="A1355" s="2" t="s">
        <v>2210</v>
      </c>
      <c r="B1355" s="1" t="s">
        <v>1285</v>
      </c>
      <c r="C1355" s="1" t="str">
        <f>"東広島市西条町西条東1283-2"</f>
        <v>東広島市西条町西条東1283-2</v>
      </c>
      <c r="D1355" s="1" t="s">
        <v>324</v>
      </c>
      <c r="E1355" s="3">
        <v>45991</v>
      </c>
      <c r="F1355" s="2"/>
    </row>
    <row r="1356" spans="1:6" ht="24.95" customHeight="1" x14ac:dyDescent="0.4">
      <c r="A1356" s="2" t="s">
        <v>745</v>
      </c>
      <c r="B1356" s="1" t="s">
        <v>1285</v>
      </c>
      <c r="C1356" s="1" t="str">
        <f>"東広島市西条町西条東1283-2"</f>
        <v>東広島市西条町西条東1283-2</v>
      </c>
      <c r="D1356" s="1" t="s">
        <v>324</v>
      </c>
      <c r="E1356" s="3">
        <v>45991</v>
      </c>
      <c r="F1356" s="2"/>
    </row>
    <row r="1357" spans="1:6" ht="24.95" customHeight="1" x14ac:dyDescent="0.4">
      <c r="A1357" s="2" t="s">
        <v>768</v>
      </c>
      <c r="B1357" s="1" t="s">
        <v>1245</v>
      </c>
      <c r="C1357" s="1" t="str">
        <f>"東広島市西条町西条東山崎1281-5"</f>
        <v>東広島市西条町西条東山崎1281-5</v>
      </c>
      <c r="D1357" s="1" t="s">
        <v>1173</v>
      </c>
      <c r="E1357" s="3">
        <v>47087</v>
      </c>
      <c r="F1357" s="2"/>
    </row>
    <row r="1358" spans="1:6" ht="24.95" customHeight="1" x14ac:dyDescent="0.4">
      <c r="A1358" s="2" t="s">
        <v>1281</v>
      </c>
      <c r="B1358" s="1" t="s">
        <v>1245</v>
      </c>
      <c r="C1358" s="1" t="str">
        <f>"東広島市西条町西条東山崎1281-5"</f>
        <v>東広島市西条町西条東山崎1281-5</v>
      </c>
      <c r="D1358" s="1" t="s">
        <v>1027</v>
      </c>
      <c r="E1358" s="3">
        <v>47087</v>
      </c>
      <c r="F1358" s="2"/>
    </row>
    <row r="1359" spans="1:6" ht="24.95" customHeight="1" x14ac:dyDescent="0.4">
      <c r="A1359" s="2" t="s">
        <v>1172</v>
      </c>
      <c r="B1359" s="1" t="s">
        <v>148</v>
      </c>
      <c r="C1359" s="1" t="str">
        <f t="shared" ref="C1359:C1375" si="31">"東広島市西条町田口295-3"</f>
        <v>東広島市西条町田口295-3</v>
      </c>
      <c r="D1359" s="1" t="s">
        <v>324</v>
      </c>
      <c r="E1359" s="3">
        <v>47087</v>
      </c>
      <c r="F1359" s="2"/>
    </row>
    <row r="1360" spans="1:6" ht="24.95" customHeight="1" x14ac:dyDescent="0.4">
      <c r="A1360" s="2" t="s">
        <v>143</v>
      </c>
      <c r="B1360" s="1" t="s">
        <v>148</v>
      </c>
      <c r="C1360" s="1" t="str">
        <f t="shared" si="31"/>
        <v>東広島市西条町田口295-3</v>
      </c>
      <c r="D1360" s="1" t="s">
        <v>324</v>
      </c>
      <c r="E1360" s="3">
        <v>47087</v>
      </c>
      <c r="F1360" s="2"/>
    </row>
    <row r="1361" spans="1:6" ht="24.95" customHeight="1" x14ac:dyDescent="0.4">
      <c r="A1361" s="2" t="s">
        <v>402</v>
      </c>
      <c r="B1361" s="1" t="s">
        <v>148</v>
      </c>
      <c r="C1361" s="1" t="str">
        <f t="shared" si="31"/>
        <v>東広島市西条町田口295-3</v>
      </c>
      <c r="D1361" s="1" t="s">
        <v>324</v>
      </c>
      <c r="E1361" s="3">
        <v>47087</v>
      </c>
      <c r="F1361" s="2"/>
    </row>
    <row r="1362" spans="1:6" ht="24.95" customHeight="1" x14ac:dyDescent="0.4">
      <c r="A1362" s="2" t="s">
        <v>958</v>
      </c>
      <c r="B1362" s="1" t="s">
        <v>148</v>
      </c>
      <c r="C1362" s="1" t="str">
        <f t="shared" si="31"/>
        <v>東広島市西条町田口295-3</v>
      </c>
      <c r="D1362" s="1" t="s">
        <v>324</v>
      </c>
      <c r="E1362" s="3">
        <v>47087</v>
      </c>
      <c r="F1362" s="2"/>
    </row>
    <row r="1363" spans="1:6" ht="24.95" customHeight="1" x14ac:dyDescent="0.4">
      <c r="A1363" s="2" t="s">
        <v>1415</v>
      </c>
      <c r="B1363" s="1" t="s">
        <v>148</v>
      </c>
      <c r="C1363" s="1" t="str">
        <f t="shared" si="31"/>
        <v>東広島市西条町田口295-3</v>
      </c>
      <c r="D1363" s="1" t="s">
        <v>324</v>
      </c>
      <c r="E1363" s="3">
        <v>47087</v>
      </c>
      <c r="F1363" s="2"/>
    </row>
    <row r="1364" spans="1:6" ht="24.95" customHeight="1" x14ac:dyDescent="0.4">
      <c r="A1364" s="2" t="s">
        <v>1463</v>
      </c>
      <c r="B1364" s="1" t="s">
        <v>148</v>
      </c>
      <c r="C1364" s="1" t="str">
        <f t="shared" si="31"/>
        <v>東広島市西条町田口295-3</v>
      </c>
      <c r="D1364" s="1" t="s">
        <v>576</v>
      </c>
      <c r="E1364" s="3">
        <v>47087</v>
      </c>
      <c r="F1364" s="2"/>
    </row>
    <row r="1365" spans="1:6" ht="24.95" customHeight="1" x14ac:dyDescent="0.4">
      <c r="A1365" s="2" t="s">
        <v>1465</v>
      </c>
      <c r="B1365" s="1" t="s">
        <v>148</v>
      </c>
      <c r="C1365" s="1" t="str">
        <f t="shared" si="31"/>
        <v>東広島市西条町田口295-3</v>
      </c>
      <c r="D1365" s="1" t="s">
        <v>832</v>
      </c>
      <c r="E1365" s="3">
        <v>47087</v>
      </c>
      <c r="F1365" s="2"/>
    </row>
    <row r="1366" spans="1:6" ht="24.95" customHeight="1" x14ac:dyDescent="0.4">
      <c r="A1366" s="2" t="s">
        <v>1480</v>
      </c>
      <c r="B1366" s="1" t="s">
        <v>148</v>
      </c>
      <c r="C1366" s="1" t="str">
        <f t="shared" si="31"/>
        <v>東広島市西条町田口295-3</v>
      </c>
      <c r="D1366" s="1" t="s">
        <v>104</v>
      </c>
      <c r="E1366" s="3">
        <v>47087</v>
      </c>
      <c r="F1366" s="2"/>
    </row>
    <row r="1367" spans="1:6" ht="24.95" customHeight="1" x14ac:dyDescent="0.4">
      <c r="A1367" s="2" t="s">
        <v>1433</v>
      </c>
      <c r="B1367" s="1" t="s">
        <v>148</v>
      </c>
      <c r="C1367" s="1" t="str">
        <f t="shared" si="31"/>
        <v>東広島市西条町田口295-3</v>
      </c>
      <c r="D1367" s="1" t="s">
        <v>104</v>
      </c>
      <c r="E1367" s="3">
        <v>47087</v>
      </c>
      <c r="F1367" s="2"/>
    </row>
    <row r="1368" spans="1:6" ht="24.95" customHeight="1" x14ac:dyDescent="0.4">
      <c r="A1368" s="2" t="s">
        <v>1818</v>
      </c>
      <c r="B1368" s="1" t="s">
        <v>148</v>
      </c>
      <c r="C1368" s="1" t="str">
        <f t="shared" si="31"/>
        <v>東広島市西条町田口295-3</v>
      </c>
      <c r="D1368" s="1" t="s">
        <v>104</v>
      </c>
      <c r="E1368" s="3">
        <v>45991</v>
      </c>
      <c r="F1368" s="2"/>
    </row>
    <row r="1369" spans="1:6" ht="24.95" customHeight="1" x14ac:dyDescent="0.4">
      <c r="A1369" s="2" t="s">
        <v>2373</v>
      </c>
      <c r="B1369" s="1" t="s">
        <v>148</v>
      </c>
      <c r="C1369" s="1" t="str">
        <f t="shared" si="31"/>
        <v>東広島市西条町田口295-3</v>
      </c>
      <c r="D1369" s="1" t="s">
        <v>324</v>
      </c>
      <c r="E1369" s="3">
        <v>45626</v>
      </c>
      <c r="F1369" s="2"/>
    </row>
    <row r="1370" spans="1:6" ht="24.95" customHeight="1" x14ac:dyDescent="0.4">
      <c r="A1370" s="2" t="s">
        <v>2417</v>
      </c>
      <c r="B1370" s="1" t="s">
        <v>148</v>
      </c>
      <c r="C1370" s="1" t="str">
        <f t="shared" si="31"/>
        <v>東広島市西条町田口295-3</v>
      </c>
      <c r="D1370" s="1" t="s">
        <v>79</v>
      </c>
      <c r="E1370" s="3">
        <v>45991</v>
      </c>
      <c r="F1370" s="2"/>
    </row>
    <row r="1371" spans="1:6" ht="24.95" customHeight="1" x14ac:dyDescent="0.4">
      <c r="A1371" s="2" t="s">
        <v>2432</v>
      </c>
      <c r="B1371" s="1" t="s">
        <v>148</v>
      </c>
      <c r="C1371" s="1" t="str">
        <f t="shared" si="31"/>
        <v>東広島市西条町田口295-3</v>
      </c>
      <c r="D1371" s="1" t="s">
        <v>324</v>
      </c>
      <c r="E1371" s="3">
        <v>46356</v>
      </c>
      <c r="F1371" s="2"/>
    </row>
    <row r="1372" spans="1:6" ht="24.95" customHeight="1" x14ac:dyDescent="0.4">
      <c r="A1372" s="2" t="s">
        <v>1473</v>
      </c>
      <c r="B1372" s="1" t="s">
        <v>148</v>
      </c>
      <c r="C1372" s="1" t="str">
        <f t="shared" si="31"/>
        <v>東広島市西条町田口295-3</v>
      </c>
      <c r="D1372" s="1" t="s">
        <v>104</v>
      </c>
      <c r="E1372" s="3">
        <v>47087</v>
      </c>
      <c r="F1372" s="2"/>
    </row>
    <row r="1373" spans="1:6" ht="24.95" customHeight="1" x14ac:dyDescent="0.4">
      <c r="A1373" s="2" t="s">
        <v>2608</v>
      </c>
      <c r="B1373" s="1" t="s">
        <v>148</v>
      </c>
      <c r="C1373" s="1" t="str">
        <f t="shared" si="31"/>
        <v>東広島市西条町田口295-3</v>
      </c>
      <c r="D1373" s="1" t="s">
        <v>104</v>
      </c>
      <c r="E1373" s="3">
        <v>47087</v>
      </c>
      <c r="F1373" s="2"/>
    </row>
    <row r="1374" spans="1:6" ht="24.95" customHeight="1" x14ac:dyDescent="0.4">
      <c r="A1374" s="2" t="s">
        <v>2658</v>
      </c>
      <c r="B1374" s="1" t="s">
        <v>148</v>
      </c>
      <c r="C1374" s="1" t="str">
        <f t="shared" si="31"/>
        <v>東広島市西条町田口295-3</v>
      </c>
      <c r="D1374" s="1" t="s">
        <v>104</v>
      </c>
      <c r="E1374" s="3">
        <v>47087</v>
      </c>
      <c r="F1374" s="2"/>
    </row>
    <row r="1375" spans="1:6" ht="24.95" customHeight="1" x14ac:dyDescent="0.4">
      <c r="A1375" s="2" t="s">
        <v>747</v>
      </c>
      <c r="B1375" s="1" t="s">
        <v>148</v>
      </c>
      <c r="C1375" s="1" t="str">
        <f t="shared" si="31"/>
        <v>東広島市西条町田口295-3</v>
      </c>
      <c r="D1375" s="1" t="s">
        <v>104</v>
      </c>
      <c r="E1375" s="3">
        <v>46356</v>
      </c>
      <c r="F1375" s="2"/>
    </row>
    <row r="1376" spans="1:6" ht="24.95" customHeight="1" x14ac:dyDescent="0.4">
      <c r="A1376" s="2" t="s">
        <v>771</v>
      </c>
      <c r="B1376" s="1" t="s">
        <v>602</v>
      </c>
      <c r="C1376" s="1" t="s">
        <v>859</v>
      </c>
      <c r="D1376" s="5" t="s">
        <v>1045</v>
      </c>
      <c r="E1376" s="3">
        <v>47087</v>
      </c>
      <c r="F1376" s="2"/>
    </row>
    <row r="1377" spans="1:6" ht="24.95" customHeight="1" x14ac:dyDescent="0.4">
      <c r="A1377" s="2" t="s">
        <v>321</v>
      </c>
      <c r="B1377" s="1" t="s">
        <v>602</v>
      </c>
      <c r="C1377" s="1" t="s">
        <v>859</v>
      </c>
      <c r="D1377" s="5" t="s">
        <v>1495</v>
      </c>
      <c r="E1377" s="3">
        <v>47087</v>
      </c>
      <c r="F1377" s="2"/>
    </row>
    <row r="1378" spans="1:6" ht="24.95" customHeight="1" x14ac:dyDescent="0.4">
      <c r="A1378" s="2" t="s">
        <v>857</v>
      </c>
      <c r="B1378" s="1" t="s">
        <v>602</v>
      </c>
      <c r="C1378" s="1" t="s">
        <v>859</v>
      </c>
      <c r="D1378" s="1" t="s">
        <v>122</v>
      </c>
      <c r="E1378" s="3">
        <v>47087</v>
      </c>
      <c r="F1378" s="2"/>
    </row>
    <row r="1379" spans="1:6" ht="24.95" customHeight="1" x14ac:dyDescent="0.4">
      <c r="A1379" s="2" t="s">
        <v>59</v>
      </c>
      <c r="B1379" s="1" t="s">
        <v>602</v>
      </c>
      <c r="C1379" s="1" t="s">
        <v>859</v>
      </c>
      <c r="D1379" s="1" t="s">
        <v>324</v>
      </c>
      <c r="E1379" s="3">
        <v>45991</v>
      </c>
      <c r="F1379" s="2"/>
    </row>
    <row r="1380" spans="1:6" ht="24.95" customHeight="1" x14ac:dyDescent="0.4">
      <c r="A1380" s="2" t="s">
        <v>2488</v>
      </c>
      <c r="B1380" s="1" t="s">
        <v>602</v>
      </c>
      <c r="C1380" s="1" t="s">
        <v>859</v>
      </c>
      <c r="D1380" s="1" t="s">
        <v>1875</v>
      </c>
      <c r="E1380" s="3">
        <v>46721</v>
      </c>
      <c r="F1380" s="2"/>
    </row>
    <row r="1381" spans="1:6" ht="24.95" customHeight="1" x14ac:dyDescent="0.4">
      <c r="A1381" s="2" t="s">
        <v>1104</v>
      </c>
      <c r="B1381" s="1" t="s">
        <v>602</v>
      </c>
      <c r="C1381" s="1" t="s">
        <v>859</v>
      </c>
      <c r="D1381" s="5" t="s">
        <v>1045</v>
      </c>
      <c r="E1381" s="3">
        <v>47087</v>
      </c>
      <c r="F1381" s="2"/>
    </row>
    <row r="1382" spans="1:6" ht="24.95" customHeight="1" x14ac:dyDescent="0.4">
      <c r="A1382" s="2" t="s">
        <v>2583</v>
      </c>
      <c r="B1382" s="1" t="s">
        <v>602</v>
      </c>
      <c r="C1382" s="1" t="s">
        <v>859</v>
      </c>
      <c r="D1382" s="5" t="s">
        <v>1045</v>
      </c>
      <c r="E1382" s="3">
        <v>47087</v>
      </c>
      <c r="F1382" s="2"/>
    </row>
    <row r="1383" spans="1:6" ht="24.95" customHeight="1" x14ac:dyDescent="0.4">
      <c r="A1383" s="2" t="s">
        <v>1852</v>
      </c>
      <c r="B1383" s="1" t="s">
        <v>602</v>
      </c>
      <c r="C1383" s="1" t="s">
        <v>859</v>
      </c>
      <c r="D1383" s="5" t="s">
        <v>1045</v>
      </c>
      <c r="E1383" s="3">
        <v>47087</v>
      </c>
      <c r="F1383" s="2"/>
    </row>
    <row r="1384" spans="1:6" ht="24.95" customHeight="1" x14ac:dyDescent="0.4">
      <c r="A1384" s="2" t="s">
        <v>1181</v>
      </c>
      <c r="B1384" s="1" t="s">
        <v>602</v>
      </c>
      <c r="C1384" s="1" t="s">
        <v>859</v>
      </c>
      <c r="D1384" s="5" t="s">
        <v>1045</v>
      </c>
      <c r="E1384" s="3">
        <v>47087</v>
      </c>
      <c r="F1384" s="2"/>
    </row>
    <row r="1385" spans="1:6" ht="24.95" customHeight="1" x14ac:dyDescent="0.4">
      <c r="A1385" s="2" t="s">
        <v>2185</v>
      </c>
      <c r="B1385" s="1" t="s">
        <v>2186</v>
      </c>
      <c r="C1385" s="1" t="str">
        <f>"東広島市西条土与丸5-9-33"</f>
        <v>東広島市西条土与丸5-9-33</v>
      </c>
      <c r="D1385" s="1" t="s">
        <v>139</v>
      </c>
      <c r="E1385" s="3">
        <v>45991</v>
      </c>
      <c r="F1385" s="2"/>
    </row>
    <row r="1386" spans="1:6" ht="24.95" customHeight="1" x14ac:dyDescent="0.4">
      <c r="A1386" s="2" t="s">
        <v>66</v>
      </c>
      <c r="B1386" s="1" t="s">
        <v>232</v>
      </c>
      <c r="C1386" s="1" t="str">
        <f>"東広島市西条土与丸5-9-34"</f>
        <v>東広島市西条土与丸5-9-34</v>
      </c>
      <c r="D1386" s="1" t="s">
        <v>551</v>
      </c>
      <c r="E1386" s="3">
        <v>47087</v>
      </c>
      <c r="F1386" s="2"/>
    </row>
    <row r="1387" spans="1:6" ht="24.95" customHeight="1" x14ac:dyDescent="0.4">
      <c r="A1387" s="2" t="s">
        <v>568</v>
      </c>
      <c r="B1387" s="1" t="s">
        <v>291</v>
      </c>
      <c r="C1387" s="1" t="str">
        <f>"東広島市西条土与丸5-9-6"</f>
        <v>東広島市西条土与丸5-9-6</v>
      </c>
      <c r="D1387" s="1" t="s">
        <v>803</v>
      </c>
      <c r="E1387" s="3">
        <v>47087</v>
      </c>
      <c r="F1387" s="2"/>
    </row>
    <row r="1388" spans="1:6" ht="24.95" customHeight="1" x14ac:dyDescent="0.4">
      <c r="A1388" s="2" t="s">
        <v>1308</v>
      </c>
      <c r="B1388" s="1" t="s">
        <v>57</v>
      </c>
      <c r="C1388" s="1" t="str">
        <f t="shared" ref="C1388:C1395" si="32">"東広島市西条土与丸6-1-91"</f>
        <v>東広島市西条土与丸6-1-91</v>
      </c>
      <c r="D1388" s="1" t="s">
        <v>531</v>
      </c>
      <c r="E1388" s="3">
        <v>47087</v>
      </c>
      <c r="F1388" s="2"/>
    </row>
    <row r="1389" spans="1:6" ht="24.95" customHeight="1" x14ac:dyDescent="0.4">
      <c r="A1389" s="2" t="s">
        <v>1924</v>
      </c>
      <c r="B1389" s="1" t="s">
        <v>57</v>
      </c>
      <c r="C1389" s="1" t="str">
        <f t="shared" si="32"/>
        <v>東広島市西条土与丸6-1-91</v>
      </c>
      <c r="D1389" s="1" t="s">
        <v>531</v>
      </c>
      <c r="E1389" s="3">
        <v>47087</v>
      </c>
      <c r="F1389" s="2"/>
    </row>
    <row r="1390" spans="1:6" ht="24.95" customHeight="1" x14ac:dyDescent="0.4">
      <c r="A1390" s="2" t="s">
        <v>1897</v>
      </c>
      <c r="B1390" s="1" t="s">
        <v>57</v>
      </c>
      <c r="C1390" s="1" t="str">
        <f t="shared" si="32"/>
        <v>東広島市西条土与丸6-1-91</v>
      </c>
      <c r="D1390" s="1" t="s">
        <v>324</v>
      </c>
      <c r="E1390" s="3">
        <v>47087</v>
      </c>
      <c r="F1390" s="2"/>
    </row>
    <row r="1391" spans="1:6" ht="24.95" customHeight="1" x14ac:dyDescent="0.4">
      <c r="A1391" s="2" t="s">
        <v>853</v>
      </c>
      <c r="B1391" s="1" t="s">
        <v>57</v>
      </c>
      <c r="C1391" s="1" t="str">
        <f t="shared" si="32"/>
        <v>東広島市西条土与丸6-1-91</v>
      </c>
      <c r="D1391" s="1" t="s">
        <v>122</v>
      </c>
      <c r="E1391" s="3">
        <v>47087</v>
      </c>
      <c r="F1391" s="2"/>
    </row>
    <row r="1392" spans="1:6" ht="24.95" customHeight="1" x14ac:dyDescent="0.4">
      <c r="A1392" s="2" t="s">
        <v>1166</v>
      </c>
      <c r="B1392" s="1" t="s">
        <v>57</v>
      </c>
      <c r="C1392" s="1" t="str">
        <f t="shared" si="32"/>
        <v>東広島市西条土与丸6-1-91</v>
      </c>
      <c r="D1392" s="1" t="s">
        <v>1195</v>
      </c>
      <c r="E1392" s="3">
        <v>46356</v>
      </c>
      <c r="F1392" s="2"/>
    </row>
    <row r="1393" spans="1:6" ht="24.95" customHeight="1" x14ac:dyDescent="0.4">
      <c r="A1393" s="2" t="s">
        <v>1977</v>
      </c>
      <c r="B1393" s="1" t="s">
        <v>57</v>
      </c>
      <c r="C1393" s="1" t="str">
        <f t="shared" si="32"/>
        <v>東広島市西条土与丸6-1-91</v>
      </c>
      <c r="D1393" s="1" t="s">
        <v>531</v>
      </c>
      <c r="E1393" s="3">
        <v>45991</v>
      </c>
      <c r="F1393" s="2"/>
    </row>
    <row r="1394" spans="1:6" ht="24.95" customHeight="1" x14ac:dyDescent="0.4">
      <c r="A1394" s="2" t="s">
        <v>758</v>
      </c>
      <c r="B1394" s="1" t="s">
        <v>57</v>
      </c>
      <c r="C1394" s="1" t="str">
        <f t="shared" si="32"/>
        <v>東広島市西条土与丸6-1-91</v>
      </c>
      <c r="D1394" s="1" t="s">
        <v>324</v>
      </c>
      <c r="E1394" s="3">
        <v>47087</v>
      </c>
      <c r="F1394" s="2"/>
    </row>
    <row r="1395" spans="1:6" ht="24.95" customHeight="1" x14ac:dyDescent="0.4">
      <c r="A1395" s="2" t="s">
        <v>2741</v>
      </c>
      <c r="B1395" s="1" t="s">
        <v>57</v>
      </c>
      <c r="C1395" s="1" t="str">
        <f t="shared" si="32"/>
        <v>東広島市西条土与丸6-1-91</v>
      </c>
      <c r="D1395" s="1" t="s">
        <v>30</v>
      </c>
      <c r="E1395" s="3">
        <v>45626</v>
      </c>
      <c r="F1395" s="2"/>
    </row>
    <row r="1396" spans="1:6" ht="24.95" customHeight="1" x14ac:dyDescent="0.4">
      <c r="A1396" s="2" t="s">
        <v>1249</v>
      </c>
      <c r="B1396" s="1" t="s">
        <v>164</v>
      </c>
      <c r="C1396" s="1" t="str">
        <f>"東広島市西条本町12-2"</f>
        <v>東広島市西条本町12-2</v>
      </c>
      <c r="D1396" s="5" t="s">
        <v>1250</v>
      </c>
      <c r="E1396" s="3">
        <v>47087</v>
      </c>
      <c r="F1396" s="2"/>
    </row>
    <row r="1397" spans="1:6" ht="24.95" customHeight="1" x14ac:dyDescent="0.4">
      <c r="A1397" s="2" t="s">
        <v>2489</v>
      </c>
      <c r="B1397" s="1" t="s">
        <v>164</v>
      </c>
      <c r="C1397" s="1" t="str">
        <f>"東広島市西条本町12-2"</f>
        <v>東広島市西条本町12-2</v>
      </c>
      <c r="D1397" s="1" t="s">
        <v>67</v>
      </c>
      <c r="E1397" s="3">
        <v>46721</v>
      </c>
      <c r="F1397" s="2"/>
    </row>
    <row r="1398" spans="1:6" ht="24.95" customHeight="1" x14ac:dyDescent="0.4">
      <c r="A1398" s="2" t="s">
        <v>1222</v>
      </c>
      <c r="B1398" s="1" t="s">
        <v>164</v>
      </c>
      <c r="C1398" s="1" t="str">
        <f>"東広島市西条本町12-2"</f>
        <v>東広島市西条本町12-2</v>
      </c>
      <c r="D1398" s="5" t="s">
        <v>1250</v>
      </c>
      <c r="E1398" s="3">
        <v>47087</v>
      </c>
      <c r="F1398" s="2"/>
    </row>
    <row r="1399" spans="1:6" ht="24.95" customHeight="1" x14ac:dyDescent="0.4">
      <c r="A1399" s="2" t="s">
        <v>420</v>
      </c>
      <c r="B1399" s="1" t="s">
        <v>588</v>
      </c>
      <c r="C1399" s="1" t="str">
        <f>"東広島市西条本町12-2-2F"</f>
        <v>東広島市西条本町12-2-2F</v>
      </c>
      <c r="D1399" s="1" t="s">
        <v>201</v>
      </c>
      <c r="E1399" s="3">
        <v>47087</v>
      </c>
      <c r="F1399" s="2"/>
    </row>
    <row r="1400" spans="1:6" ht="24.95" customHeight="1" x14ac:dyDescent="0.4">
      <c r="A1400" s="2" t="s">
        <v>1995</v>
      </c>
      <c r="B1400" s="1" t="s">
        <v>1860</v>
      </c>
      <c r="C1400" s="1" t="str">
        <f>"東広島市西条本町12-2-2F"</f>
        <v>東広島市西条本町12-2-2F</v>
      </c>
      <c r="D1400" s="1" t="s">
        <v>1035</v>
      </c>
      <c r="E1400" s="3">
        <v>47087</v>
      </c>
      <c r="F1400" s="2"/>
    </row>
    <row r="1401" spans="1:6" ht="24.95" customHeight="1" x14ac:dyDescent="0.4">
      <c r="A1401" s="2" t="s">
        <v>2305</v>
      </c>
      <c r="B1401" s="1" t="s">
        <v>2306</v>
      </c>
      <c r="C1401" s="1" t="s">
        <v>146</v>
      </c>
      <c r="D1401" s="1" t="s">
        <v>112</v>
      </c>
      <c r="E1401" s="3">
        <v>47087</v>
      </c>
      <c r="F1401" s="2"/>
    </row>
    <row r="1402" spans="1:6" ht="24.95" customHeight="1" x14ac:dyDescent="0.4">
      <c r="A1402" s="2" t="s">
        <v>1000</v>
      </c>
      <c r="B1402" s="1" t="s">
        <v>445</v>
      </c>
      <c r="C1402" s="1" t="s">
        <v>1001</v>
      </c>
      <c r="D1402" s="1" t="s">
        <v>1002</v>
      </c>
      <c r="E1402" s="3">
        <v>47087</v>
      </c>
      <c r="F1402" s="2"/>
    </row>
    <row r="1403" spans="1:6" ht="24.95" customHeight="1" x14ac:dyDescent="0.4">
      <c r="A1403" s="2" t="s">
        <v>1363</v>
      </c>
      <c r="B1403" s="1" t="s">
        <v>1286</v>
      </c>
      <c r="C1403" s="1" t="str">
        <f>"東広島市八本松町飯田111-1"</f>
        <v>東広島市八本松町飯田111-1</v>
      </c>
      <c r="D1403" s="1" t="s">
        <v>936</v>
      </c>
      <c r="E1403" s="3">
        <v>47087</v>
      </c>
      <c r="F1403" s="2"/>
    </row>
    <row r="1404" spans="1:6" ht="24.95" customHeight="1" x14ac:dyDescent="0.4">
      <c r="A1404" s="2" t="s">
        <v>821</v>
      </c>
      <c r="B1404" s="1" t="s">
        <v>1330</v>
      </c>
      <c r="C1404" s="1" t="str">
        <f t="shared" ref="C1404:C1409" si="33">"東広島市八本松東3-9-30"</f>
        <v>東広島市八本松東3-9-30</v>
      </c>
      <c r="D1404" s="1" t="s">
        <v>324</v>
      </c>
      <c r="E1404" s="3">
        <v>47087</v>
      </c>
      <c r="F1404" s="2"/>
    </row>
    <row r="1405" spans="1:6" ht="24.95" customHeight="1" x14ac:dyDescent="0.4">
      <c r="A1405" s="2" t="s">
        <v>1763</v>
      </c>
      <c r="B1405" s="1" t="s">
        <v>1330</v>
      </c>
      <c r="C1405" s="1" t="str">
        <f t="shared" si="33"/>
        <v>東広島市八本松東3-9-30</v>
      </c>
      <c r="D1405" s="1" t="s">
        <v>531</v>
      </c>
      <c r="E1405" s="3">
        <v>47087</v>
      </c>
      <c r="F1405" s="2"/>
    </row>
    <row r="1406" spans="1:6" ht="24.95" customHeight="1" x14ac:dyDescent="0.4">
      <c r="A1406" s="2" t="s">
        <v>2365</v>
      </c>
      <c r="B1406" s="1" t="s">
        <v>1330</v>
      </c>
      <c r="C1406" s="1" t="str">
        <f t="shared" si="33"/>
        <v>東広島市八本松東3-9-30</v>
      </c>
      <c r="D1406" s="1" t="s">
        <v>122</v>
      </c>
      <c r="E1406" s="3">
        <v>45626</v>
      </c>
      <c r="F1406" s="2"/>
    </row>
    <row r="1407" spans="1:6" ht="24.95" customHeight="1" x14ac:dyDescent="0.4">
      <c r="A1407" s="2" t="s">
        <v>2595</v>
      </c>
      <c r="B1407" s="1" t="s">
        <v>1330</v>
      </c>
      <c r="C1407" s="1" t="str">
        <f t="shared" si="33"/>
        <v>東広島市八本松東3-9-30</v>
      </c>
      <c r="D1407" s="1" t="s">
        <v>240</v>
      </c>
      <c r="E1407" s="3">
        <v>47087</v>
      </c>
      <c r="F1407" s="2"/>
    </row>
    <row r="1408" spans="1:6" ht="24.95" customHeight="1" x14ac:dyDescent="0.4">
      <c r="A1408" s="2" t="s">
        <v>2454</v>
      </c>
      <c r="B1408" s="1" t="s">
        <v>1330</v>
      </c>
      <c r="C1408" s="1" t="str">
        <f t="shared" si="33"/>
        <v>東広島市八本松東3-9-30</v>
      </c>
      <c r="D1408" s="1" t="s">
        <v>531</v>
      </c>
      <c r="E1408" s="3">
        <v>47087</v>
      </c>
      <c r="F1408" s="2"/>
    </row>
    <row r="1409" spans="1:6" ht="24.95" customHeight="1" x14ac:dyDescent="0.4">
      <c r="A1409" s="2" t="s">
        <v>1558</v>
      </c>
      <c r="B1409" s="1" t="s">
        <v>1330</v>
      </c>
      <c r="C1409" s="1" t="str">
        <f t="shared" si="33"/>
        <v>東広島市八本松東3-9-30</v>
      </c>
      <c r="D1409" s="1" t="s">
        <v>531</v>
      </c>
      <c r="E1409" s="3">
        <v>47087</v>
      </c>
      <c r="F1409" s="2"/>
    </row>
    <row r="1410" spans="1:6" ht="24.95" customHeight="1" x14ac:dyDescent="0.4">
      <c r="A1410" s="2" t="s">
        <v>550</v>
      </c>
      <c r="B1410" s="1" t="s">
        <v>2467</v>
      </c>
      <c r="C1410" s="1" t="str">
        <f>"東広島市八本松東7-8-15"</f>
        <v>東広島市八本松東7-8-15</v>
      </c>
      <c r="D1410" s="1" t="s">
        <v>103</v>
      </c>
      <c r="E1410" s="3">
        <v>46356</v>
      </c>
      <c r="F1410" s="2"/>
    </row>
    <row r="1411" spans="1:6" ht="24.95" customHeight="1" x14ac:dyDescent="0.4">
      <c r="A1411" s="2" t="s">
        <v>33</v>
      </c>
      <c r="B1411" s="1" t="s">
        <v>1147</v>
      </c>
      <c r="C1411" s="1" t="str">
        <f>"東広島市八本松南2-4-15"</f>
        <v>東広島市八本松南2-4-15</v>
      </c>
      <c r="D1411" s="1" t="s">
        <v>803</v>
      </c>
      <c r="E1411" s="3">
        <v>47087</v>
      </c>
      <c r="F1411" s="2"/>
    </row>
    <row r="1412" spans="1:6" ht="24.95" customHeight="1" x14ac:dyDescent="0.4">
      <c r="A1412" s="2" t="s">
        <v>785</v>
      </c>
      <c r="B1412" s="1" t="s">
        <v>1047</v>
      </c>
      <c r="C1412" s="1" t="str">
        <f>"東広島市八本松南5-9-14"</f>
        <v>東広島市八本松南5-9-14</v>
      </c>
      <c r="D1412" s="1" t="s">
        <v>30</v>
      </c>
      <c r="E1412" s="3">
        <v>47087</v>
      </c>
      <c r="F1412" s="2"/>
    </row>
    <row r="1413" spans="1:6" ht="24.95" customHeight="1" x14ac:dyDescent="0.4">
      <c r="A1413" s="2" t="s">
        <v>783</v>
      </c>
      <c r="B1413" s="1" t="s">
        <v>2219</v>
      </c>
      <c r="C1413" s="1" t="str">
        <f>"東広島市八本松飯田6-16-12"</f>
        <v>東広島市八本松飯田6-16-12</v>
      </c>
      <c r="D1413" s="1" t="s">
        <v>1081</v>
      </c>
      <c r="E1413" s="3">
        <v>45991</v>
      </c>
      <c r="F1413" s="2"/>
    </row>
    <row r="1414" spans="1:6" ht="24.95" customHeight="1" x14ac:dyDescent="0.4">
      <c r="A1414" s="2" t="s">
        <v>2029</v>
      </c>
      <c r="B1414" s="1" t="s">
        <v>461</v>
      </c>
      <c r="C1414" s="1" t="str">
        <f>"東広島市福富町久芳1539-27"</f>
        <v>東広島市福富町久芳1539-27</v>
      </c>
      <c r="D1414" s="1" t="s">
        <v>2715</v>
      </c>
      <c r="E1414" s="3">
        <v>45991</v>
      </c>
      <c r="F1414" s="2"/>
    </row>
    <row r="1415" spans="1:6" ht="24.95" customHeight="1" x14ac:dyDescent="0.4">
      <c r="A1415" s="2" t="s">
        <v>401</v>
      </c>
      <c r="B1415" s="1" t="s">
        <v>439</v>
      </c>
      <c r="C1415" s="1" t="str">
        <f>"廿日市市阿品3-1-6"</f>
        <v>廿日市市阿品3-1-6</v>
      </c>
      <c r="D1415" s="1" t="s">
        <v>201</v>
      </c>
      <c r="E1415" s="3">
        <v>47087</v>
      </c>
      <c r="F1415" s="2"/>
    </row>
    <row r="1416" spans="1:6" ht="24.95" customHeight="1" x14ac:dyDescent="0.4">
      <c r="A1416" s="2" t="s">
        <v>2060</v>
      </c>
      <c r="B1416" s="1" t="s">
        <v>2061</v>
      </c>
      <c r="C1416" s="1" t="str">
        <f>"廿日市市阿品3-1-6"</f>
        <v>廿日市市阿品3-1-6</v>
      </c>
      <c r="D1416" s="1" t="s">
        <v>186</v>
      </c>
      <c r="E1416" s="3">
        <v>47087</v>
      </c>
      <c r="F1416" s="2"/>
    </row>
    <row r="1417" spans="1:6" ht="24.95" customHeight="1" x14ac:dyDescent="0.4">
      <c r="A1417" s="2" t="s">
        <v>2130</v>
      </c>
      <c r="B1417" s="1" t="s">
        <v>52</v>
      </c>
      <c r="C1417" s="1" t="str">
        <f>"廿日市市阿品3-1-6"</f>
        <v>廿日市市阿品3-1-6</v>
      </c>
      <c r="D1417" s="1" t="s">
        <v>820</v>
      </c>
      <c r="E1417" s="3">
        <v>47087</v>
      </c>
      <c r="F1417" s="2"/>
    </row>
    <row r="1418" spans="1:6" ht="24.95" customHeight="1" x14ac:dyDescent="0.4">
      <c r="A1418" s="2" t="s">
        <v>2294</v>
      </c>
      <c r="B1418" s="1" t="s">
        <v>956</v>
      </c>
      <c r="C1418" s="1" t="str">
        <f>"廿日市市阿品3-2-18"</f>
        <v>廿日市市阿品3-2-18</v>
      </c>
      <c r="D1418" s="1" t="s">
        <v>1616</v>
      </c>
      <c r="E1418" s="3">
        <v>46721</v>
      </c>
      <c r="F1418" s="2"/>
    </row>
    <row r="1419" spans="1:6" ht="24.95" customHeight="1" x14ac:dyDescent="0.4">
      <c r="A1419" s="2" t="s">
        <v>1877</v>
      </c>
      <c r="B1419" s="1" t="s">
        <v>2466</v>
      </c>
      <c r="C1419" s="1" t="str">
        <f>"廿日市市阿品3-5-8"</f>
        <v>廿日市市阿品3-5-8</v>
      </c>
      <c r="D1419" s="1" t="s">
        <v>139</v>
      </c>
      <c r="E1419" s="3">
        <v>46721</v>
      </c>
      <c r="F1419" s="2"/>
    </row>
    <row r="1420" spans="1:6" ht="24.95" customHeight="1" x14ac:dyDescent="0.4">
      <c r="A1420" s="2" t="s">
        <v>1037</v>
      </c>
      <c r="B1420" s="1" t="s">
        <v>476</v>
      </c>
      <c r="C1420" s="1" t="str">
        <f>"廿日市市阿品4-51-1"</f>
        <v>廿日市市阿品4-51-1</v>
      </c>
      <c r="D1420" s="1" t="s">
        <v>603</v>
      </c>
      <c r="E1420" s="3">
        <v>47087</v>
      </c>
      <c r="F1420" s="2"/>
    </row>
    <row r="1421" spans="1:6" ht="24.95" customHeight="1" x14ac:dyDescent="0.4">
      <c r="A1421" s="2" t="s">
        <v>772</v>
      </c>
      <c r="B1421" s="1" t="s">
        <v>476</v>
      </c>
      <c r="C1421" s="1" t="str">
        <f>"廿日市市阿品4-51-1"</f>
        <v>廿日市市阿品4-51-1</v>
      </c>
      <c r="D1421" s="1" t="s">
        <v>30</v>
      </c>
      <c r="E1421" s="3">
        <v>47087</v>
      </c>
      <c r="F1421" s="2"/>
    </row>
    <row r="1422" spans="1:6" ht="24.95" customHeight="1" x14ac:dyDescent="0.4">
      <c r="A1422" s="2" t="s">
        <v>458</v>
      </c>
      <c r="B1422" s="1" t="s">
        <v>476</v>
      </c>
      <c r="C1422" s="1" t="str">
        <f>"廿日市市阿品4-51-1"</f>
        <v>廿日市市阿品4-51-1</v>
      </c>
      <c r="D1422" s="1" t="s">
        <v>1027</v>
      </c>
      <c r="E1422" s="3">
        <v>47087</v>
      </c>
      <c r="F1422" s="2"/>
    </row>
    <row r="1423" spans="1:6" ht="24.95" customHeight="1" x14ac:dyDescent="0.4">
      <c r="A1423" s="2" t="s">
        <v>2667</v>
      </c>
      <c r="B1423" s="1" t="s">
        <v>476</v>
      </c>
      <c r="C1423" s="1" t="str">
        <f>"廿日市市阿品4-51-1"</f>
        <v>廿日市市阿品4-51-1</v>
      </c>
      <c r="D1423" s="1" t="s">
        <v>30</v>
      </c>
      <c r="E1423" s="3">
        <v>47087</v>
      </c>
      <c r="F1423" s="2"/>
    </row>
    <row r="1424" spans="1:6" ht="24.95" customHeight="1" x14ac:dyDescent="0.4">
      <c r="A1424" s="2" t="s">
        <v>1628</v>
      </c>
      <c r="B1424" s="1" t="s">
        <v>1501</v>
      </c>
      <c r="C1424" s="1" t="str">
        <f>"廿日市市阿品台4-1-26"</f>
        <v>廿日市市阿品台4-1-26</v>
      </c>
      <c r="D1424" s="1" t="s">
        <v>392</v>
      </c>
      <c r="E1424" s="3">
        <v>47087</v>
      </c>
      <c r="F1424" s="2"/>
    </row>
    <row r="1425" spans="1:6" ht="24.95" customHeight="1" x14ac:dyDescent="0.4">
      <c r="A1425" s="2" t="s">
        <v>147</v>
      </c>
      <c r="B1425" s="1" t="s">
        <v>1501</v>
      </c>
      <c r="C1425" s="1" t="str">
        <f>"廿日市市阿品台4-1-26"</f>
        <v>廿日市市阿品台4-1-26</v>
      </c>
      <c r="D1425" s="1" t="s">
        <v>30</v>
      </c>
      <c r="E1425" s="3">
        <v>45626</v>
      </c>
      <c r="F1425" s="2"/>
    </row>
    <row r="1426" spans="1:6" ht="24.95" customHeight="1" x14ac:dyDescent="0.4">
      <c r="A1426" s="2" t="s">
        <v>2624</v>
      </c>
      <c r="B1426" s="1" t="s">
        <v>1501</v>
      </c>
      <c r="C1426" s="1" t="str">
        <f>"廿日市市阿品台4-1-26"</f>
        <v>廿日市市阿品台4-1-26</v>
      </c>
      <c r="D1426" s="1" t="s">
        <v>378</v>
      </c>
      <c r="E1426" s="3">
        <v>47087</v>
      </c>
      <c r="F1426" s="2"/>
    </row>
    <row r="1427" spans="1:6" ht="24.95" customHeight="1" x14ac:dyDescent="0.4">
      <c r="A1427" s="2" t="s">
        <v>2759</v>
      </c>
      <c r="B1427" s="1" t="s">
        <v>1501</v>
      </c>
      <c r="C1427" s="1" t="str">
        <f>"廿日市市阿品台4-1-26"</f>
        <v>廿日市市阿品台4-1-26</v>
      </c>
      <c r="D1427" s="1" t="s">
        <v>30</v>
      </c>
      <c r="E1427" s="3">
        <v>46721</v>
      </c>
      <c r="F1427" s="2"/>
    </row>
    <row r="1428" spans="1:6" ht="24.95" customHeight="1" x14ac:dyDescent="0.4">
      <c r="A1428" s="2" t="s">
        <v>1921</v>
      </c>
      <c r="B1428" s="1" t="s">
        <v>2484</v>
      </c>
      <c r="C1428" s="1" t="str">
        <f>"廿日市市阿品台4-17-31"</f>
        <v>廿日市市阿品台4-17-31</v>
      </c>
      <c r="D1428" s="1" t="s">
        <v>30</v>
      </c>
      <c r="E1428" s="3">
        <v>46721</v>
      </c>
      <c r="F1428" s="2"/>
    </row>
    <row r="1429" spans="1:6" ht="24.95" customHeight="1" x14ac:dyDescent="0.4">
      <c r="A1429" s="2" t="s">
        <v>2649</v>
      </c>
      <c r="B1429" s="1" t="s">
        <v>2484</v>
      </c>
      <c r="C1429" s="1" t="str">
        <f>"廿日市市阿品台4-17-31"</f>
        <v>廿日市市阿品台4-17-31</v>
      </c>
      <c r="D1429" s="1" t="s">
        <v>30</v>
      </c>
      <c r="E1429" s="3">
        <v>47087</v>
      </c>
      <c r="F1429" s="2"/>
    </row>
    <row r="1430" spans="1:6" ht="24.95" customHeight="1" x14ac:dyDescent="0.4">
      <c r="A1430" s="2" t="s">
        <v>724</v>
      </c>
      <c r="B1430" s="1" t="s">
        <v>292</v>
      </c>
      <c r="C1430" s="1" t="str">
        <f>"廿日市市駅前11-3"</f>
        <v>廿日市市駅前11-3</v>
      </c>
      <c r="D1430" s="1" t="s">
        <v>30</v>
      </c>
      <c r="E1430" s="3">
        <v>47087</v>
      </c>
      <c r="F1430" s="2"/>
    </row>
    <row r="1431" spans="1:6" ht="24.95" customHeight="1" x14ac:dyDescent="0.4">
      <c r="A1431" s="2" t="s">
        <v>1028</v>
      </c>
      <c r="B1431" s="1" t="s">
        <v>1031</v>
      </c>
      <c r="C1431" s="1" t="str">
        <f>"廿日市市駅前4-28"</f>
        <v>廿日市市駅前4-28</v>
      </c>
      <c r="D1431" s="1" t="s">
        <v>324</v>
      </c>
      <c r="E1431" s="3">
        <v>47087</v>
      </c>
      <c r="F1431" s="2"/>
    </row>
    <row r="1432" spans="1:6" ht="24.95" customHeight="1" x14ac:dyDescent="0.4">
      <c r="A1432" s="2" t="s">
        <v>261</v>
      </c>
      <c r="B1432" s="1" t="s">
        <v>1280</v>
      </c>
      <c r="C1432" s="1" t="str">
        <f>"廿日市市塩屋1-1-64"</f>
        <v>廿日市市塩屋1-1-64</v>
      </c>
      <c r="D1432" s="1" t="s">
        <v>220</v>
      </c>
      <c r="E1432" s="3">
        <v>47087</v>
      </c>
      <c r="F1432" s="2"/>
    </row>
    <row r="1433" spans="1:6" ht="24.95" customHeight="1" x14ac:dyDescent="0.4">
      <c r="A1433" s="2" t="s">
        <v>2707</v>
      </c>
      <c r="B1433" s="1" t="s">
        <v>2708</v>
      </c>
      <c r="C1433" s="1" t="str">
        <f>"廿日市市塩屋2-2-16"</f>
        <v>廿日市市塩屋2-2-16</v>
      </c>
      <c r="D1433" s="1" t="s">
        <v>324</v>
      </c>
      <c r="E1433" s="3">
        <v>47087</v>
      </c>
      <c r="F1433" s="2"/>
    </row>
    <row r="1434" spans="1:6" ht="24.95" customHeight="1" x14ac:dyDescent="0.4">
      <c r="A1434" s="2" t="s">
        <v>25</v>
      </c>
      <c r="B1434" s="1" t="s">
        <v>301</v>
      </c>
      <c r="C1434" s="1" t="str">
        <f>"廿日市市下平良1-3-36-301"</f>
        <v>廿日市市下平良1-3-36-301</v>
      </c>
      <c r="D1434" s="1" t="s">
        <v>104</v>
      </c>
      <c r="E1434" s="3">
        <v>47087</v>
      </c>
      <c r="F1434" s="2"/>
    </row>
    <row r="1435" spans="1:6" ht="24.95" customHeight="1" x14ac:dyDescent="0.4">
      <c r="A1435" s="2" t="s">
        <v>2358</v>
      </c>
      <c r="B1435" s="1" t="s">
        <v>2359</v>
      </c>
      <c r="C1435" s="1" t="str">
        <f>"廿日市市丸石2-3-35"</f>
        <v>廿日市市丸石2-3-35</v>
      </c>
      <c r="D1435" s="1" t="s">
        <v>335</v>
      </c>
      <c r="E1435" s="3">
        <v>47087</v>
      </c>
      <c r="F1435" s="2"/>
    </row>
    <row r="1436" spans="1:6" ht="24.95" customHeight="1" x14ac:dyDescent="0.4">
      <c r="A1436" s="2" t="s">
        <v>2650</v>
      </c>
      <c r="B1436" s="1" t="s">
        <v>2651</v>
      </c>
      <c r="C1436" s="1" t="str">
        <f>"廿日市市吉和1771-1（※書類送付先は廿日市市役所健康推進課へ送付すること）廿日市市役所健康推進課（〒738-8512廿日市市新宮1-13-1）"</f>
        <v>廿日市市吉和1771-1（※書類送付先は廿日市市役所健康推進課へ送付すること）廿日市市役所健康推進課（〒738-8512廿日市市新宮1-13-1）</v>
      </c>
      <c r="D1436" s="1" t="s">
        <v>30</v>
      </c>
      <c r="E1436" s="3">
        <v>47087</v>
      </c>
      <c r="F1436" s="2"/>
    </row>
    <row r="1437" spans="1:6" ht="24.95" customHeight="1" x14ac:dyDescent="0.4">
      <c r="A1437" s="2" t="s">
        <v>1624</v>
      </c>
      <c r="B1437" s="1" t="s">
        <v>480</v>
      </c>
      <c r="C1437" s="1" t="str">
        <f>"廿日市市宮島口1-7-15"</f>
        <v>廿日市市宮島口1-7-15</v>
      </c>
      <c r="D1437" s="1" t="s">
        <v>1014</v>
      </c>
      <c r="E1437" s="3">
        <v>47087</v>
      </c>
      <c r="F1437" s="2"/>
    </row>
    <row r="1438" spans="1:6" ht="24.95" customHeight="1" x14ac:dyDescent="0.4">
      <c r="A1438" s="2" t="s">
        <v>1153</v>
      </c>
      <c r="B1438" s="1" t="s">
        <v>2713</v>
      </c>
      <c r="C1438" s="1" t="str">
        <f>"廿日市市宮島町1185-1"</f>
        <v>廿日市市宮島町1185-1</v>
      </c>
      <c r="D1438" s="1" t="s">
        <v>30</v>
      </c>
      <c r="E1438" s="3">
        <v>45991</v>
      </c>
      <c r="F1438" s="2"/>
    </row>
    <row r="1439" spans="1:6" ht="24.95" customHeight="1" x14ac:dyDescent="0.4">
      <c r="A1439" s="2" t="s">
        <v>348</v>
      </c>
      <c r="B1439" s="1" t="s">
        <v>202</v>
      </c>
      <c r="C1439" s="1" t="str">
        <f>"廿日市市宮内1072-1"</f>
        <v>廿日市市宮内1072-1</v>
      </c>
      <c r="D1439" s="1" t="s">
        <v>1</v>
      </c>
      <c r="E1439" s="3">
        <v>47087</v>
      </c>
      <c r="F1439" s="2"/>
    </row>
    <row r="1440" spans="1:6" ht="24.95" customHeight="1" x14ac:dyDescent="0.4">
      <c r="A1440" s="2" t="s">
        <v>2706</v>
      </c>
      <c r="B1440" s="1" t="s">
        <v>202</v>
      </c>
      <c r="C1440" s="1" t="str">
        <f>"廿日市市宮内1072-1"</f>
        <v>廿日市市宮内1072-1</v>
      </c>
      <c r="D1440" s="1" t="s">
        <v>2152</v>
      </c>
      <c r="E1440" s="3">
        <v>45991</v>
      </c>
      <c r="F1440" s="2"/>
    </row>
    <row r="1441" spans="1:6" ht="24.95" customHeight="1" x14ac:dyDescent="0.4">
      <c r="A1441" s="2" t="s">
        <v>1946</v>
      </c>
      <c r="B1441" s="1" t="s">
        <v>1675</v>
      </c>
      <c r="C1441" s="1" t="str">
        <f>"廿日市市宮内1087-1"</f>
        <v>廿日市市宮内1087-1</v>
      </c>
      <c r="D1441" s="1" t="s">
        <v>324</v>
      </c>
      <c r="E1441" s="3">
        <v>47087</v>
      </c>
      <c r="F1441" s="2"/>
    </row>
    <row r="1442" spans="1:6" ht="24.95" customHeight="1" x14ac:dyDescent="0.4">
      <c r="A1442" s="2" t="s">
        <v>648</v>
      </c>
      <c r="B1442" s="1" t="s">
        <v>2659</v>
      </c>
      <c r="C1442" s="1" t="str">
        <f>"廿日市市宮内3-10-15"</f>
        <v>廿日市市宮内3-10-15</v>
      </c>
      <c r="D1442" s="1" t="s">
        <v>693</v>
      </c>
      <c r="E1442" s="3">
        <v>47087</v>
      </c>
      <c r="F1442" s="2"/>
    </row>
    <row r="1443" spans="1:6" ht="24.95" customHeight="1" x14ac:dyDescent="0.4">
      <c r="A1443" s="2" t="s">
        <v>468</v>
      </c>
      <c r="B1443" s="1" t="s">
        <v>2412</v>
      </c>
      <c r="C1443" s="1" t="str">
        <f>"廿日市市宮内3-5-32"</f>
        <v>廿日市市宮内3-5-32</v>
      </c>
      <c r="D1443" s="1" t="s">
        <v>735</v>
      </c>
      <c r="E1443" s="3">
        <v>45991</v>
      </c>
      <c r="F1443" s="2"/>
    </row>
    <row r="1444" spans="1:6" ht="24.95" customHeight="1" x14ac:dyDescent="0.4">
      <c r="A1444" s="2" t="s">
        <v>2647</v>
      </c>
      <c r="B1444" s="1" t="s">
        <v>780</v>
      </c>
      <c r="C1444" s="1" t="str">
        <f>"廿日市市宮内4-10-23"</f>
        <v>廿日市市宮内4-10-23</v>
      </c>
      <c r="D1444" s="1" t="s">
        <v>30</v>
      </c>
      <c r="E1444" s="3">
        <v>47087</v>
      </c>
      <c r="F1444" s="2"/>
    </row>
    <row r="1445" spans="1:6" ht="24.95" customHeight="1" x14ac:dyDescent="0.4">
      <c r="A1445" s="2" t="s">
        <v>517</v>
      </c>
      <c r="B1445" s="1" t="s">
        <v>310</v>
      </c>
      <c r="C1445" s="1" t="str">
        <f>"廿日市市宮内4311-5"</f>
        <v>廿日市市宮内4311-5</v>
      </c>
      <c r="D1445" s="1" t="s">
        <v>139</v>
      </c>
      <c r="E1445" s="3">
        <v>47087</v>
      </c>
      <c r="F1445" s="2"/>
    </row>
    <row r="1446" spans="1:6" ht="24.95" customHeight="1" x14ac:dyDescent="0.4">
      <c r="A1446" s="2" t="s">
        <v>1453</v>
      </c>
      <c r="B1446" s="1" t="s">
        <v>1454</v>
      </c>
      <c r="C1446" s="1" t="str">
        <f>"廿日市市宮内4311-5"</f>
        <v>廿日市市宮内4311-5</v>
      </c>
      <c r="D1446" s="1" t="s">
        <v>681</v>
      </c>
      <c r="E1446" s="3">
        <v>47087</v>
      </c>
      <c r="F1446" s="2"/>
    </row>
    <row r="1447" spans="1:6" ht="24.95" customHeight="1" x14ac:dyDescent="0.4">
      <c r="A1447" s="2" t="s">
        <v>459</v>
      </c>
      <c r="B1447" s="1" t="s">
        <v>557</v>
      </c>
      <c r="C1447" s="1" t="str">
        <f>"廿日市市宮内字佐原田4209-2"</f>
        <v>廿日市市宮内字佐原田4209-2</v>
      </c>
      <c r="D1447" s="1" t="s">
        <v>561</v>
      </c>
      <c r="E1447" s="3">
        <v>47087</v>
      </c>
      <c r="F1447" s="2"/>
    </row>
    <row r="1448" spans="1:6" ht="24.95" customHeight="1" x14ac:dyDescent="0.4">
      <c r="A1448" s="2" t="s">
        <v>1385</v>
      </c>
      <c r="B1448" s="1" t="s">
        <v>557</v>
      </c>
      <c r="C1448" s="1" t="str">
        <f>"廿日市市宮内字佐原田4209-2"</f>
        <v>廿日市市宮内字佐原田4209-2</v>
      </c>
      <c r="D1448" s="1" t="s">
        <v>30</v>
      </c>
      <c r="E1448" s="3">
        <v>45991</v>
      </c>
      <c r="F1448" s="2"/>
    </row>
    <row r="1449" spans="1:6" ht="24.95" customHeight="1" x14ac:dyDescent="0.4">
      <c r="A1449" s="2" t="s">
        <v>2279</v>
      </c>
      <c r="B1449" s="1" t="s">
        <v>557</v>
      </c>
      <c r="C1449" s="1" t="str">
        <f>"廿日市市宮内字佐原田4209-2"</f>
        <v>廿日市市宮内字佐原田4209-2</v>
      </c>
      <c r="D1449" s="1" t="s">
        <v>2022</v>
      </c>
      <c r="E1449" s="3">
        <v>46721</v>
      </c>
      <c r="F1449" s="2"/>
    </row>
    <row r="1450" spans="1:6" ht="24.95" customHeight="1" x14ac:dyDescent="0.4">
      <c r="A1450" s="2" t="s">
        <v>1494</v>
      </c>
      <c r="B1450" s="1" t="s">
        <v>557</v>
      </c>
      <c r="C1450" s="1" t="str">
        <f>"廿日市市宮内字佐原田4209-2"</f>
        <v>廿日市市宮内字佐原田4209-2</v>
      </c>
      <c r="D1450" s="1" t="s">
        <v>30</v>
      </c>
      <c r="E1450" s="3">
        <v>45991</v>
      </c>
      <c r="F1450" s="2"/>
    </row>
    <row r="1451" spans="1:6" ht="24.95" customHeight="1" x14ac:dyDescent="0.4">
      <c r="A1451" s="2" t="s">
        <v>1947</v>
      </c>
      <c r="B1451" s="1" t="s">
        <v>557</v>
      </c>
      <c r="C1451" s="1" t="str">
        <f>"廿日市市宮内字佐原田4209-2"</f>
        <v>廿日市市宮内字佐原田4209-2</v>
      </c>
      <c r="D1451" s="1" t="s">
        <v>30</v>
      </c>
      <c r="E1451" s="3">
        <v>45991</v>
      </c>
      <c r="F1451" s="2"/>
    </row>
    <row r="1452" spans="1:6" ht="24.95" customHeight="1" x14ac:dyDescent="0.4">
      <c r="A1452" s="2" t="s">
        <v>2241</v>
      </c>
      <c r="B1452" s="1" t="s">
        <v>2242</v>
      </c>
      <c r="C1452" s="1" t="str">
        <f>"廿日市市串戸1-9-41-2"</f>
        <v>廿日市市串戸1-9-41-2</v>
      </c>
      <c r="D1452" s="1" t="s">
        <v>30</v>
      </c>
      <c r="E1452" s="3">
        <v>46356</v>
      </c>
      <c r="F1452" s="2"/>
    </row>
    <row r="1453" spans="1:6" ht="24.95" customHeight="1" x14ac:dyDescent="0.4">
      <c r="A1453" s="2" t="s">
        <v>1479</v>
      </c>
      <c r="B1453" s="1" t="s">
        <v>1748</v>
      </c>
      <c r="C1453" s="1" t="str">
        <f>"廿日市市串戸2-17-4"</f>
        <v>廿日市市串戸2-17-4</v>
      </c>
      <c r="D1453" s="1" t="s">
        <v>67</v>
      </c>
      <c r="E1453" s="3">
        <v>47087</v>
      </c>
      <c r="F1453" s="2"/>
    </row>
    <row r="1454" spans="1:6" ht="24.95" customHeight="1" x14ac:dyDescent="0.4">
      <c r="A1454" s="2" t="s">
        <v>129</v>
      </c>
      <c r="B1454" s="1" t="s">
        <v>983</v>
      </c>
      <c r="C1454" s="1" t="str">
        <f>"廿日市市串戸2-17-5"</f>
        <v>廿日市市串戸2-17-5</v>
      </c>
      <c r="D1454" s="1" t="s">
        <v>984</v>
      </c>
      <c r="E1454" s="3">
        <v>47087</v>
      </c>
      <c r="F1454" s="2"/>
    </row>
    <row r="1455" spans="1:6" ht="24.95" customHeight="1" x14ac:dyDescent="0.4">
      <c r="A1455" s="2" t="s">
        <v>2419</v>
      </c>
      <c r="B1455" s="1" t="s">
        <v>2420</v>
      </c>
      <c r="C1455" s="1" t="str">
        <f>"廿日市市串戸2-20-1"</f>
        <v>廿日市市串戸2-20-1</v>
      </c>
      <c r="D1455" s="1" t="s">
        <v>139</v>
      </c>
      <c r="E1455" s="3">
        <v>45991</v>
      </c>
      <c r="F1455" s="2"/>
    </row>
    <row r="1456" spans="1:6" ht="24.95" customHeight="1" x14ac:dyDescent="0.4">
      <c r="A1456" s="2" t="s">
        <v>13</v>
      </c>
      <c r="B1456" s="1" t="s">
        <v>1320</v>
      </c>
      <c r="C1456" s="1" t="str">
        <f>"廿日市市串戸5-1-37"</f>
        <v>廿日市市串戸5-1-37</v>
      </c>
      <c r="D1456" s="1" t="s">
        <v>30</v>
      </c>
      <c r="E1456" s="3">
        <v>47087</v>
      </c>
      <c r="F1456" s="2"/>
    </row>
    <row r="1457" spans="1:6" ht="24.95" customHeight="1" x14ac:dyDescent="0.4">
      <c r="A1457" s="2" t="s">
        <v>1373</v>
      </c>
      <c r="B1457" s="1" t="s">
        <v>1320</v>
      </c>
      <c r="C1457" s="1" t="str">
        <f>"廿日市市串戸5-1-37"</f>
        <v>廿日市市串戸5-1-37</v>
      </c>
      <c r="D1457" s="1" t="s">
        <v>1241</v>
      </c>
      <c r="E1457" s="3">
        <v>47087</v>
      </c>
      <c r="F1457" s="2"/>
    </row>
    <row r="1458" spans="1:6" ht="24.95" customHeight="1" x14ac:dyDescent="0.4">
      <c r="A1458" s="2" t="s">
        <v>65</v>
      </c>
      <c r="B1458" s="1" t="s">
        <v>1320</v>
      </c>
      <c r="C1458" s="1" t="str">
        <f>"廿日市市串戸5-1-37"</f>
        <v>廿日市市串戸5-1-37</v>
      </c>
      <c r="D1458" s="1" t="s">
        <v>104</v>
      </c>
      <c r="E1458" s="3">
        <v>45991</v>
      </c>
      <c r="F1458" s="2"/>
    </row>
    <row r="1459" spans="1:6" ht="24.95" customHeight="1" x14ac:dyDescent="0.4">
      <c r="A1459" s="2" t="s">
        <v>2388</v>
      </c>
      <c r="B1459" s="1" t="s">
        <v>1320</v>
      </c>
      <c r="C1459" s="1" t="str">
        <f>"廿日市市串戸5-1-37"</f>
        <v>廿日市市串戸5-1-37</v>
      </c>
      <c r="D1459" s="1" t="s">
        <v>921</v>
      </c>
      <c r="E1459" s="3">
        <v>45991</v>
      </c>
      <c r="F1459" s="2"/>
    </row>
    <row r="1460" spans="1:6" ht="24.95" customHeight="1" x14ac:dyDescent="0.4">
      <c r="A1460" s="2" t="s">
        <v>1698</v>
      </c>
      <c r="B1460" s="1" t="s">
        <v>1914</v>
      </c>
      <c r="C1460" s="1" t="str">
        <f>"廿日市市原926-1"</f>
        <v>廿日市市原926-1</v>
      </c>
      <c r="D1460" s="1" t="s">
        <v>104</v>
      </c>
      <c r="E1460" s="3">
        <v>47087</v>
      </c>
      <c r="F1460" s="2"/>
    </row>
    <row r="1461" spans="1:6" ht="24.95" customHeight="1" x14ac:dyDescent="0.4">
      <c r="A1461" s="2" t="s">
        <v>2739</v>
      </c>
      <c r="B1461" s="1" t="s">
        <v>1914</v>
      </c>
      <c r="C1461" s="1" t="str">
        <f>"廿日市市原926-1"</f>
        <v>廿日市市原926-1</v>
      </c>
      <c r="D1461" s="1" t="s">
        <v>30</v>
      </c>
      <c r="E1461" s="3">
        <v>45626</v>
      </c>
      <c r="F1461" s="2"/>
    </row>
    <row r="1462" spans="1:6" ht="24.95" customHeight="1" x14ac:dyDescent="0.4">
      <c r="A1462" s="2" t="s">
        <v>150</v>
      </c>
      <c r="B1462" s="1" t="s">
        <v>813</v>
      </c>
      <c r="C1462" s="1" t="str">
        <f>"廿日市市佐方4-4-13"</f>
        <v>廿日市市佐方4-4-13</v>
      </c>
      <c r="D1462" s="5" t="s">
        <v>815</v>
      </c>
      <c r="E1462" s="3">
        <v>47087</v>
      </c>
      <c r="F1462" s="2"/>
    </row>
    <row r="1463" spans="1:6" ht="24.95" customHeight="1" x14ac:dyDescent="0.4">
      <c r="A1463" s="2" t="s">
        <v>1785</v>
      </c>
      <c r="B1463" s="1" t="s">
        <v>1026</v>
      </c>
      <c r="C1463" s="1" t="str">
        <f>"廿日市市佐方4-8-31"</f>
        <v>廿日市市佐方4-8-31</v>
      </c>
      <c r="D1463" s="1" t="s">
        <v>735</v>
      </c>
      <c r="E1463" s="3">
        <v>47087</v>
      </c>
      <c r="F1463" s="2"/>
    </row>
    <row r="1464" spans="1:6" ht="24.95" customHeight="1" x14ac:dyDescent="0.4">
      <c r="A1464" s="2" t="s">
        <v>2205</v>
      </c>
      <c r="B1464" s="1" t="s">
        <v>1481</v>
      </c>
      <c r="C1464" s="1" t="str">
        <f>"廿日市市山陽園8-19"</f>
        <v>廿日市市山陽園8-19</v>
      </c>
      <c r="D1464" s="1" t="s">
        <v>1754</v>
      </c>
      <c r="E1464" s="3">
        <v>45991</v>
      </c>
      <c r="F1464" s="2"/>
    </row>
    <row r="1465" spans="1:6" ht="24.95" customHeight="1" x14ac:dyDescent="0.4">
      <c r="A1465" s="2" t="s">
        <v>82</v>
      </c>
      <c r="B1465" s="1" t="s">
        <v>386</v>
      </c>
      <c r="C1465" s="1" t="str">
        <f>"廿日市市四季が丘5-13-7"</f>
        <v>廿日市市四季が丘5-13-7</v>
      </c>
      <c r="D1465" s="1" t="s">
        <v>113</v>
      </c>
      <c r="E1465" s="3">
        <v>47087</v>
      </c>
      <c r="F1465" s="2"/>
    </row>
    <row r="1466" spans="1:6" ht="24.95" customHeight="1" x14ac:dyDescent="0.4">
      <c r="A1466" s="2" t="s">
        <v>2244</v>
      </c>
      <c r="B1466" s="1" t="s">
        <v>2245</v>
      </c>
      <c r="C1466" s="1" t="str">
        <f>"廿日市市住吉1-4-15"</f>
        <v>廿日市市住吉1-4-15</v>
      </c>
      <c r="D1466" s="1" t="s">
        <v>139</v>
      </c>
      <c r="E1466" s="3">
        <v>46356</v>
      </c>
      <c r="F1466" s="2"/>
    </row>
    <row r="1467" spans="1:6" ht="24.95" customHeight="1" x14ac:dyDescent="0.4">
      <c r="A1467" s="2" t="s">
        <v>790</v>
      </c>
      <c r="B1467" s="1" t="s">
        <v>184</v>
      </c>
      <c r="C1467" s="1" t="str">
        <f>"廿日市市上平良358-1"</f>
        <v>廿日市市上平良358-1</v>
      </c>
      <c r="D1467" s="1" t="s">
        <v>104</v>
      </c>
      <c r="E1467" s="3">
        <v>47087</v>
      </c>
      <c r="F1467" s="2"/>
    </row>
    <row r="1468" spans="1:6" ht="24.95" customHeight="1" x14ac:dyDescent="0.4">
      <c r="A1468" s="2" t="s">
        <v>725</v>
      </c>
      <c r="B1468" s="1" t="s">
        <v>184</v>
      </c>
      <c r="C1468" s="1" t="str">
        <f>"廿日市市上平良358-1"</f>
        <v>廿日市市上平良358-1</v>
      </c>
      <c r="D1468" s="1" t="s">
        <v>104</v>
      </c>
      <c r="E1468" s="3">
        <v>47087</v>
      </c>
      <c r="F1468" s="2"/>
    </row>
    <row r="1469" spans="1:6" ht="24.95" customHeight="1" x14ac:dyDescent="0.4">
      <c r="A1469" s="2" t="s">
        <v>1691</v>
      </c>
      <c r="B1469" s="1" t="s">
        <v>838</v>
      </c>
      <c r="C1469" s="1" t="str">
        <f>"廿日市市新宮1-13-24"</f>
        <v>廿日市市新宮1-13-24</v>
      </c>
      <c r="D1469" s="1" t="s">
        <v>717</v>
      </c>
      <c r="E1469" s="3">
        <v>47087</v>
      </c>
      <c r="F1469" s="2"/>
    </row>
    <row r="1470" spans="1:6" ht="24.95" customHeight="1" x14ac:dyDescent="0.4">
      <c r="A1470" s="2" t="s">
        <v>1017</v>
      </c>
      <c r="B1470" s="1" t="s">
        <v>1019</v>
      </c>
      <c r="C1470" s="1" t="str">
        <f>"廿日市市新宮2-1-15"</f>
        <v>廿日市市新宮2-1-15</v>
      </c>
      <c r="D1470" s="1" t="s">
        <v>30</v>
      </c>
      <c r="E1470" s="3">
        <v>47087</v>
      </c>
      <c r="F1470" s="2"/>
    </row>
    <row r="1471" spans="1:6" ht="24.95" customHeight="1" x14ac:dyDescent="0.4">
      <c r="A1471" s="2" t="s">
        <v>2304</v>
      </c>
      <c r="B1471" s="1" t="s">
        <v>1019</v>
      </c>
      <c r="C1471" s="1" t="str">
        <f>"廿日市市新宮2-1-15"</f>
        <v>廿日市市新宮2-1-15</v>
      </c>
      <c r="D1471" s="1" t="s">
        <v>1032</v>
      </c>
      <c r="E1471" s="3">
        <v>47087</v>
      </c>
      <c r="F1471" s="2"/>
    </row>
    <row r="1472" spans="1:6" ht="24.95" customHeight="1" x14ac:dyDescent="0.4">
      <c r="A1472" s="2" t="s">
        <v>1688</v>
      </c>
      <c r="B1472" s="1" t="s">
        <v>1689</v>
      </c>
      <c r="C1472" s="1" t="str">
        <f>"廿日市市大東1-5"</f>
        <v>廿日市市大東1-5</v>
      </c>
      <c r="D1472" s="1" t="s">
        <v>324</v>
      </c>
      <c r="E1472" s="3">
        <v>47087</v>
      </c>
      <c r="F1472" s="2"/>
    </row>
    <row r="1473" spans="1:6" ht="24.95" customHeight="1" x14ac:dyDescent="0.4">
      <c r="A1473" s="2" t="s">
        <v>2714</v>
      </c>
      <c r="B1473" s="1" t="s">
        <v>2694</v>
      </c>
      <c r="C1473" s="1" t="s">
        <v>1413</v>
      </c>
      <c r="D1473" s="1" t="s">
        <v>561</v>
      </c>
      <c r="E1473" s="3">
        <v>45991</v>
      </c>
      <c r="F1473" s="2"/>
    </row>
    <row r="1474" spans="1:6" ht="24.95" customHeight="1" x14ac:dyDescent="0.4">
      <c r="A1474" s="2" t="s">
        <v>2598</v>
      </c>
      <c r="B1474" s="1" t="s">
        <v>1726</v>
      </c>
      <c r="C1474" s="1" t="str">
        <f>"廿日市市大野下更地1809-9"</f>
        <v>廿日市市大野下更地1809-9</v>
      </c>
      <c r="D1474" s="1" t="s">
        <v>2599</v>
      </c>
      <c r="E1474" s="3">
        <v>47087</v>
      </c>
      <c r="F1474" s="2"/>
    </row>
    <row r="1475" spans="1:6" ht="24.95" customHeight="1" x14ac:dyDescent="0.4">
      <c r="A1475" s="2" t="s">
        <v>1759</v>
      </c>
      <c r="B1475" s="1" t="s">
        <v>1760</v>
      </c>
      <c r="C1475" s="1" t="str">
        <f>"廿日市市大野中央3-2-31"</f>
        <v>廿日市市大野中央3-2-31</v>
      </c>
      <c r="D1475" s="1" t="s">
        <v>30</v>
      </c>
      <c r="E1475" s="3">
        <v>47087</v>
      </c>
      <c r="F1475" s="2"/>
    </row>
    <row r="1476" spans="1:6" ht="24.95" customHeight="1" x14ac:dyDescent="0.4">
      <c r="A1476" s="2" t="s">
        <v>1761</v>
      </c>
      <c r="B1476" s="1" t="s">
        <v>1760</v>
      </c>
      <c r="C1476" s="1" t="str">
        <f>"廿日市市大野中央3-2-31"</f>
        <v>廿日市市大野中央3-2-31</v>
      </c>
      <c r="D1476" s="1" t="s">
        <v>30</v>
      </c>
      <c r="E1476" s="3">
        <v>47087</v>
      </c>
      <c r="F1476" s="2"/>
    </row>
    <row r="1477" spans="1:6" ht="24.95" customHeight="1" x14ac:dyDescent="0.4">
      <c r="A1477" s="2" t="s">
        <v>1180</v>
      </c>
      <c r="B1477" s="1" t="s">
        <v>1794</v>
      </c>
      <c r="C1477" s="1" t="str">
        <f>"廿日市市大野中央5-1-43"</f>
        <v>廿日市市大野中央5-1-43</v>
      </c>
      <c r="D1477" s="1" t="s">
        <v>2408</v>
      </c>
      <c r="E1477" s="3">
        <v>45991</v>
      </c>
      <c r="F1477" s="2"/>
    </row>
    <row r="1478" spans="1:6" ht="24.95" customHeight="1" x14ac:dyDescent="0.4">
      <c r="A1478" s="2" t="s">
        <v>695</v>
      </c>
      <c r="B1478" s="1" t="s">
        <v>699</v>
      </c>
      <c r="C1478" s="1" t="str">
        <f>"廿日市市地御前1-2-22"</f>
        <v>廿日市市地御前1-2-22</v>
      </c>
      <c r="D1478" s="1" t="s">
        <v>279</v>
      </c>
      <c r="E1478" s="3">
        <v>47087</v>
      </c>
      <c r="F1478" s="2"/>
    </row>
    <row r="1479" spans="1:6" ht="24.95" customHeight="1" x14ac:dyDescent="0.4">
      <c r="A1479" s="2" t="s">
        <v>702</v>
      </c>
      <c r="B1479" s="1" t="s">
        <v>312</v>
      </c>
      <c r="C1479" s="1" t="str">
        <f t="shared" ref="C1479:C1511" si="34">"廿日市市地御前1-3-3"</f>
        <v>廿日市市地御前1-3-3</v>
      </c>
      <c r="D1479" s="1" t="s">
        <v>104</v>
      </c>
      <c r="E1479" s="3">
        <v>47087</v>
      </c>
      <c r="F1479" s="2"/>
    </row>
    <row r="1480" spans="1:6" ht="24.95" customHeight="1" x14ac:dyDescent="0.4">
      <c r="A1480" s="2" t="s">
        <v>42</v>
      </c>
      <c r="B1480" s="1" t="s">
        <v>312</v>
      </c>
      <c r="C1480" s="1" t="str">
        <f t="shared" si="34"/>
        <v>廿日市市地御前1-3-3</v>
      </c>
      <c r="D1480" s="1" t="s">
        <v>104</v>
      </c>
      <c r="E1480" s="3">
        <v>47087</v>
      </c>
      <c r="F1480" s="2"/>
    </row>
    <row r="1481" spans="1:6" ht="24.95" customHeight="1" x14ac:dyDescent="0.4">
      <c r="A1481" s="2" t="s">
        <v>609</v>
      </c>
      <c r="B1481" s="1" t="s">
        <v>312</v>
      </c>
      <c r="C1481" s="1" t="str">
        <f t="shared" si="34"/>
        <v>廿日市市地御前1-3-3</v>
      </c>
      <c r="D1481" s="1" t="s">
        <v>531</v>
      </c>
      <c r="E1481" s="3">
        <v>47087</v>
      </c>
      <c r="F1481" s="2"/>
    </row>
    <row r="1482" spans="1:6" ht="24.95" customHeight="1" x14ac:dyDescent="0.4">
      <c r="A1482" s="2" t="s">
        <v>1416</v>
      </c>
      <c r="B1482" s="1" t="s">
        <v>312</v>
      </c>
      <c r="C1482" s="1" t="str">
        <f t="shared" si="34"/>
        <v>廿日市市地御前1-3-3</v>
      </c>
      <c r="D1482" s="1" t="s">
        <v>324</v>
      </c>
      <c r="E1482" s="3">
        <v>47087</v>
      </c>
      <c r="F1482" s="2"/>
    </row>
    <row r="1483" spans="1:6" ht="24.95" customHeight="1" x14ac:dyDescent="0.4">
      <c r="A1483" s="2" t="s">
        <v>1317</v>
      </c>
      <c r="B1483" s="1" t="s">
        <v>312</v>
      </c>
      <c r="C1483" s="1" t="str">
        <f t="shared" si="34"/>
        <v>廿日市市地御前1-3-3</v>
      </c>
      <c r="D1483" s="1" t="s">
        <v>286</v>
      </c>
      <c r="E1483" s="3">
        <v>47087</v>
      </c>
      <c r="F1483" s="2"/>
    </row>
    <row r="1484" spans="1:6" ht="24.95" customHeight="1" x14ac:dyDescent="0.4">
      <c r="A1484" s="2" t="s">
        <v>810</v>
      </c>
      <c r="B1484" s="1" t="s">
        <v>312</v>
      </c>
      <c r="C1484" s="1" t="str">
        <f t="shared" si="34"/>
        <v>廿日市市地御前1-3-3</v>
      </c>
      <c r="D1484" s="1" t="s">
        <v>955</v>
      </c>
      <c r="E1484" s="3">
        <v>47087</v>
      </c>
      <c r="F1484" s="2"/>
    </row>
    <row r="1485" spans="1:6" ht="24.95" customHeight="1" x14ac:dyDescent="0.4">
      <c r="A1485" s="2" t="s">
        <v>421</v>
      </c>
      <c r="B1485" s="1" t="s">
        <v>312</v>
      </c>
      <c r="C1485" s="1" t="str">
        <f t="shared" si="34"/>
        <v>廿日市市地御前1-3-3</v>
      </c>
      <c r="D1485" s="1" t="s">
        <v>139</v>
      </c>
      <c r="E1485" s="3">
        <v>47087</v>
      </c>
      <c r="F1485" s="2"/>
    </row>
    <row r="1486" spans="1:6" ht="24.95" customHeight="1" x14ac:dyDescent="0.4">
      <c r="A1486" s="2" t="s">
        <v>1566</v>
      </c>
      <c r="B1486" s="1" t="s">
        <v>312</v>
      </c>
      <c r="C1486" s="1" t="str">
        <f t="shared" si="34"/>
        <v>廿日市市地御前1-3-3</v>
      </c>
      <c r="D1486" s="1" t="s">
        <v>240</v>
      </c>
      <c r="E1486" s="3">
        <v>47087</v>
      </c>
      <c r="F1486" s="2"/>
    </row>
    <row r="1487" spans="1:6" ht="24.95" customHeight="1" x14ac:dyDescent="0.4">
      <c r="A1487" s="2" t="s">
        <v>1568</v>
      </c>
      <c r="B1487" s="1" t="s">
        <v>312</v>
      </c>
      <c r="C1487" s="1" t="str">
        <f t="shared" si="34"/>
        <v>廿日市市地御前1-3-3</v>
      </c>
      <c r="D1487" s="1" t="s">
        <v>179</v>
      </c>
      <c r="E1487" s="3">
        <v>47087</v>
      </c>
      <c r="F1487" s="2"/>
    </row>
    <row r="1488" spans="1:6" ht="24.95" customHeight="1" x14ac:dyDescent="0.4">
      <c r="A1488" s="2" t="s">
        <v>1569</v>
      </c>
      <c r="B1488" s="1" t="s">
        <v>312</v>
      </c>
      <c r="C1488" s="1" t="str">
        <f t="shared" si="34"/>
        <v>廿日市市地御前1-3-3</v>
      </c>
      <c r="D1488" s="1" t="s">
        <v>179</v>
      </c>
      <c r="E1488" s="3">
        <v>47087</v>
      </c>
      <c r="F1488" s="2"/>
    </row>
    <row r="1489" spans="1:6" ht="24.95" customHeight="1" x14ac:dyDescent="0.4">
      <c r="A1489" s="2" t="s">
        <v>1570</v>
      </c>
      <c r="B1489" s="1" t="s">
        <v>312</v>
      </c>
      <c r="C1489" s="1" t="str">
        <f t="shared" si="34"/>
        <v>廿日市市地御前1-3-3</v>
      </c>
      <c r="D1489" s="1" t="s">
        <v>104</v>
      </c>
      <c r="E1489" s="3">
        <v>47087</v>
      </c>
      <c r="F1489" s="2"/>
    </row>
    <row r="1490" spans="1:6" ht="24.95" customHeight="1" x14ac:dyDescent="0.4">
      <c r="A1490" s="2" t="s">
        <v>1838</v>
      </c>
      <c r="B1490" s="1" t="s">
        <v>312</v>
      </c>
      <c r="C1490" s="1" t="str">
        <f t="shared" si="34"/>
        <v>廿日市市地御前1-3-3</v>
      </c>
      <c r="D1490" s="1" t="s">
        <v>723</v>
      </c>
      <c r="E1490" s="3">
        <v>47087</v>
      </c>
      <c r="F1490" s="2"/>
    </row>
    <row r="1491" spans="1:6" ht="24.95" customHeight="1" x14ac:dyDescent="0.4">
      <c r="A1491" s="2" t="s">
        <v>1841</v>
      </c>
      <c r="B1491" s="1" t="s">
        <v>312</v>
      </c>
      <c r="C1491" s="1" t="str">
        <f t="shared" si="34"/>
        <v>廿日市市地御前1-3-3</v>
      </c>
      <c r="D1491" s="1" t="s">
        <v>324</v>
      </c>
      <c r="E1491" s="3">
        <v>47087</v>
      </c>
      <c r="F1491" s="2"/>
    </row>
    <row r="1492" spans="1:6" ht="24.95" customHeight="1" x14ac:dyDescent="0.4">
      <c r="A1492" s="2" t="s">
        <v>1912</v>
      </c>
      <c r="B1492" s="1" t="s">
        <v>312</v>
      </c>
      <c r="C1492" s="1" t="str">
        <f t="shared" si="34"/>
        <v>廿日市市地御前1-3-3</v>
      </c>
      <c r="D1492" s="1" t="s">
        <v>179</v>
      </c>
      <c r="E1492" s="3">
        <v>47087</v>
      </c>
      <c r="F1492" s="2"/>
    </row>
    <row r="1493" spans="1:6" ht="24.95" customHeight="1" x14ac:dyDescent="0.4">
      <c r="A1493" s="2" t="s">
        <v>1460</v>
      </c>
      <c r="B1493" s="1" t="s">
        <v>312</v>
      </c>
      <c r="C1493" s="1" t="str">
        <f t="shared" si="34"/>
        <v>廿日市市地御前1-3-3</v>
      </c>
      <c r="D1493" s="1" t="s">
        <v>324</v>
      </c>
      <c r="E1493" s="3">
        <v>47087</v>
      </c>
      <c r="F1493" s="2"/>
    </row>
    <row r="1494" spans="1:6" ht="24.95" customHeight="1" x14ac:dyDescent="0.4">
      <c r="A1494" s="2" t="s">
        <v>2146</v>
      </c>
      <c r="B1494" s="1" t="s">
        <v>312</v>
      </c>
      <c r="C1494" s="1" t="str">
        <f t="shared" si="34"/>
        <v>廿日市市地御前1-3-3</v>
      </c>
      <c r="D1494" s="1" t="s">
        <v>950</v>
      </c>
      <c r="E1494" s="3">
        <v>47087</v>
      </c>
      <c r="F1494" s="2"/>
    </row>
    <row r="1495" spans="1:6" ht="24.95" customHeight="1" x14ac:dyDescent="0.4">
      <c r="A1495" s="2" t="s">
        <v>1889</v>
      </c>
      <c r="B1495" s="1" t="s">
        <v>312</v>
      </c>
      <c r="C1495" s="1" t="str">
        <f t="shared" si="34"/>
        <v>廿日市市地御前1-3-3</v>
      </c>
      <c r="D1495" s="1" t="s">
        <v>296</v>
      </c>
      <c r="E1495" s="3">
        <v>47087</v>
      </c>
      <c r="F1495" s="2"/>
    </row>
    <row r="1496" spans="1:6" ht="24.95" customHeight="1" x14ac:dyDescent="0.4">
      <c r="A1496" s="2" t="s">
        <v>2280</v>
      </c>
      <c r="B1496" s="1" t="s">
        <v>312</v>
      </c>
      <c r="C1496" s="1" t="str">
        <f t="shared" si="34"/>
        <v>廿日市市地御前1-3-3</v>
      </c>
      <c r="D1496" s="1" t="s">
        <v>950</v>
      </c>
      <c r="E1496" s="3">
        <v>46721</v>
      </c>
      <c r="F1496" s="2"/>
    </row>
    <row r="1497" spans="1:6" ht="24.95" customHeight="1" x14ac:dyDescent="0.4">
      <c r="A1497" s="2" t="s">
        <v>2300</v>
      </c>
      <c r="B1497" s="1" t="s">
        <v>312</v>
      </c>
      <c r="C1497" s="1" t="str">
        <f t="shared" si="34"/>
        <v>廿日市市地御前1-3-3</v>
      </c>
      <c r="D1497" s="1" t="s">
        <v>88</v>
      </c>
      <c r="E1497" s="3">
        <v>46721</v>
      </c>
      <c r="F1497" s="2"/>
    </row>
    <row r="1498" spans="1:6" ht="24.95" customHeight="1" x14ac:dyDescent="0.4">
      <c r="A1498" s="2" t="s">
        <v>2325</v>
      </c>
      <c r="B1498" s="1" t="s">
        <v>312</v>
      </c>
      <c r="C1498" s="1" t="str">
        <f t="shared" si="34"/>
        <v>廿日市市地御前1-3-3</v>
      </c>
      <c r="D1498" s="1" t="s">
        <v>324</v>
      </c>
      <c r="E1498" s="3">
        <v>47087</v>
      </c>
      <c r="F1498" s="2"/>
    </row>
    <row r="1499" spans="1:6" ht="24.95" customHeight="1" x14ac:dyDescent="0.4">
      <c r="A1499" s="2" t="s">
        <v>1846</v>
      </c>
      <c r="B1499" s="1" t="s">
        <v>312</v>
      </c>
      <c r="C1499" s="1" t="str">
        <f t="shared" si="34"/>
        <v>廿日市市地御前1-3-3</v>
      </c>
      <c r="D1499" s="1" t="s">
        <v>179</v>
      </c>
      <c r="E1499" s="3">
        <v>47087</v>
      </c>
      <c r="F1499" s="2"/>
    </row>
    <row r="1500" spans="1:6" ht="24.95" customHeight="1" x14ac:dyDescent="0.4">
      <c r="A1500" s="2" t="s">
        <v>543</v>
      </c>
      <c r="B1500" s="1" t="s">
        <v>312</v>
      </c>
      <c r="C1500" s="1" t="str">
        <f t="shared" si="34"/>
        <v>廿日市市地御前1-3-3</v>
      </c>
      <c r="D1500" s="1" t="s">
        <v>67</v>
      </c>
      <c r="E1500" s="3">
        <v>47087</v>
      </c>
      <c r="F1500" s="2"/>
    </row>
    <row r="1501" spans="1:6" ht="24.95" customHeight="1" x14ac:dyDescent="0.4">
      <c r="A1501" s="2" t="s">
        <v>328</v>
      </c>
      <c r="B1501" s="1" t="s">
        <v>312</v>
      </c>
      <c r="C1501" s="1" t="str">
        <f t="shared" si="34"/>
        <v>廿日市市地御前1-3-3</v>
      </c>
      <c r="D1501" s="1" t="s">
        <v>104</v>
      </c>
      <c r="E1501" s="3">
        <v>45626</v>
      </c>
      <c r="F1501" s="2"/>
    </row>
    <row r="1502" spans="1:6" ht="24.95" customHeight="1" x14ac:dyDescent="0.4">
      <c r="A1502" s="2" t="s">
        <v>2375</v>
      </c>
      <c r="B1502" s="1" t="s">
        <v>312</v>
      </c>
      <c r="C1502" s="1" t="str">
        <f t="shared" si="34"/>
        <v>廿日市市地御前1-3-3</v>
      </c>
      <c r="D1502" s="1" t="s">
        <v>179</v>
      </c>
      <c r="E1502" s="3">
        <v>45626</v>
      </c>
      <c r="F1502" s="2"/>
    </row>
    <row r="1503" spans="1:6" ht="24.95" customHeight="1" x14ac:dyDescent="0.4">
      <c r="A1503" s="2" t="s">
        <v>2376</v>
      </c>
      <c r="B1503" s="1" t="s">
        <v>312</v>
      </c>
      <c r="C1503" s="1" t="str">
        <f t="shared" si="34"/>
        <v>廿日市市地御前1-3-3</v>
      </c>
      <c r="D1503" s="1" t="s">
        <v>576</v>
      </c>
      <c r="E1503" s="3">
        <v>45626</v>
      </c>
      <c r="F1503" s="2"/>
    </row>
    <row r="1504" spans="1:6" ht="24.95" customHeight="1" x14ac:dyDescent="0.4">
      <c r="A1504" s="2" t="s">
        <v>2254</v>
      </c>
      <c r="B1504" s="1" t="s">
        <v>312</v>
      </c>
      <c r="C1504" s="1" t="str">
        <f t="shared" si="34"/>
        <v>廿日市市地御前1-3-3</v>
      </c>
      <c r="D1504" s="1" t="s">
        <v>122</v>
      </c>
      <c r="E1504" s="3">
        <v>45991</v>
      </c>
      <c r="F1504" s="2"/>
    </row>
    <row r="1505" spans="1:6" ht="24.95" customHeight="1" x14ac:dyDescent="0.4">
      <c r="A1505" s="2" t="s">
        <v>2387</v>
      </c>
      <c r="B1505" s="1" t="s">
        <v>312</v>
      </c>
      <c r="C1505" s="1" t="str">
        <f t="shared" si="34"/>
        <v>廿日市市地御前1-3-3</v>
      </c>
      <c r="D1505" s="1" t="s">
        <v>1027</v>
      </c>
      <c r="E1505" s="3">
        <v>46356</v>
      </c>
      <c r="F1505" s="2"/>
    </row>
    <row r="1506" spans="1:6" ht="24.95" customHeight="1" x14ac:dyDescent="0.4">
      <c r="A1506" s="2" t="s">
        <v>153</v>
      </c>
      <c r="B1506" s="1" t="s">
        <v>312</v>
      </c>
      <c r="C1506" s="1" t="str">
        <f t="shared" si="34"/>
        <v>廿日市市地御前1-3-3</v>
      </c>
      <c r="D1506" s="1" t="s">
        <v>122</v>
      </c>
      <c r="E1506" s="3">
        <v>46721</v>
      </c>
      <c r="F1506" s="2"/>
    </row>
    <row r="1507" spans="1:6" ht="24.95" customHeight="1" x14ac:dyDescent="0.4">
      <c r="A1507" s="2" t="s">
        <v>2479</v>
      </c>
      <c r="B1507" s="1" t="s">
        <v>312</v>
      </c>
      <c r="C1507" s="1" t="str">
        <f t="shared" si="34"/>
        <v>廿日市市地御前1-3-3</v>
      </c>
      <c r="D1507" s="1" t="s">
        <v>1027</v>
      </c>
      <c r="E1507" s="3">
        <v>46721</v>
      </c>
      <c r="F1507" s="2"/>
    </row>
    <row r="1508" spans="1:6" ht="24.95" customHeight="1" x14ac:dyDescent="0.4">
      <c r="A1508" s="2" t="s">
        <v>2350</v>
      </c>
      <c r="B1508" s="1" t="s">
        <v>312</v>
      </c>
      <c r="C1508" s="1" t="str">
        <f t="shared" si="34"/>
        <v>廿日市市地御前1-3-3</v>
      </c>
      <c r="D1508" s="1" t="s">
        <v>1603</v>
      </c>
      <c r="E1508" s="3">
        <v>46721</v>
      </c>
      <c r="F1508" s="2"/>
    </row>
    <row r="1509" spans="1:6" ht="24.95" customHeight="1" x14ac:dyDescent="0.4">
      <c r="A1509" s="2" t="s">
        <v>2320</v>
      </c>
      <c r="B1509" s="1" t="s">
        <v>312</v>
      </c>
      <c r="C1509" s="1" t="str">
        <f t="shared" si="34"/>
        <v>廿日市市地御前1-3-3</v>
      </c>
      <c r="D1509" s="1" t="s">
        <v>67</v>
      </c>
      <c r="E1509" s="3">
        <v>47087</v>
      </c>
      <c r="F1509" s="2"/>
    </row>
    <row r="1510" spans="1:6" ht="24.95" customHeight="1" x14ac:dyDescent="0.4">
      <c r="A1510" s="2" t="s">
        <v>2773</v>
      </c>
      <c r="B1510" s="1" t="s">
        <v>312</v>
      </c>
      <c r="C1510" s="1" t="str">
        <f t="shared" si="34"/>
        <v>廿日市市地御前1-3-3</v>
      </c>
      <c r="D1510" s="1" t="s">
        <v>67</v>
      </c>
      <c r="E1510" s="3">
        <v>47087</v>
      </c>
      <c r="F1510" s="2"/>
    </row>
    <row r="1511" spans="1:6" ht="24.95" customHeight="1" x14ac:dyDescent="0.4">
      <c r="A1511" s="2" t="s">
        <v>317</v>
      </c>
      <c r="B1511" s="1" t="s">
        <v>312</v>
      </c>
      <c r="C1511" s="1" t="str">
        <f t="shared" si="34"/>
        <v>廿日市市地御前1-3-3</v>
      </c>
      <c r="D1511" s="1" t="s">
        <v>139</v>
      </c>
      <c r="E1511" s="3">
        <v>47087</v>
      </c>
      <c r="F1511" s="2"/>
    </row>
    <row r="1512" spans="1:6" ht="24.95" customHeight="1" x14ac:dyDescent="0.4">
      <c r="A1512" s="2" t="s">
        <v>653</v>
      </c>
      <c r="B1512" s="1" t="s">
        <v>625</v>
      </c>
      <c r="C1512" s="1" t="str">
        <f>"廿日市市地御前2-10-22"</f>
        <v>廿日市市地御前2-10-22</v>
      </c>
      <c r="D1512" s="1" t="s">
        <v>852</v>
      </c>
      <c r="E1512" s="3">
        <v>47087</v>
      </c>
      <c r="F1512" s="2"/>
    </row>
    <row r="1513" spans="1:6" ht="24.95" customHeight="1" x14ac:dyDescent="0.4">
      <c r="A1513" s="2" t="s">
        <v>2180</v>
      </c>
      <c r="B1513" s="1" t="s">
        <v>2660</v>
      </c>
      <c r="C1513" s="1" t="str">
        <f>"廿日市市地御前3-16-20"</f>
        <v>廿日市市地御前3-16-20</v>
      </c>
      <c r="D1513" s="1" t="s">
        <v>2389</v>
      </c>
      <c r="E1513" s="3">
        <v>47087</v>
      </c>
      <c r="F1513" s="2"/>
    </row>
    <row r="1514" spans="1:6" ht="24.95" customHeight="1" x14ac:dyDescent="0.4">
      <c r="A1514" s="2" t="s">
        <v>1388</v>
      </c>
      <c r="B1514" s="1" t="s">
        <v>2456</v>
      </c>
      <c r="C1514" s="1" t="str">
        <f>"廿日市市地御前3-18-9"</f>
        <v>廿日市市地御前3-18-9</v>
      </c>
      <c r="D1514" s="1" t="s">
        <v>30</v>
      </c>
      <c r="E1514" s="3">
        <v>46356</v>
      </c>
      <c r="F1514" s="2"/>
    </row>
    <row r="1515" spans="1:6" ht="24.95" customHeight="1" x14ac:dyDescent="0.4">
      <c r="A1515" s="2" t="s">
        <v>1884</v>
      </c>
      <c r="B1515" s="1" t="s">
        <v>2456</v>
      </c>
      <c r="C1515" s="1" t="str">
        <f>"廿日市市地御前3-18-9"</f>
        <v>廿日市市地御前3-18-9</v>
      </c>
      <c r="D1515" s="1" t="s">
        <v>30</v>
      </c>
      <c r="E1515" s="3">
        <v>45991</v>
      </c>
      <c r="F1515" s="2"/>
    </row>
    <row r="1516" spans="1:6" ht="24.95" customHeight="1" x14ac:dyDescent="0.4">
      <c r="A1516" s="2" t="s">
        <v>826</v>
      </c>
      <c r="B1516" s="1" t="s">
        <v>645</v>
      </c>
      <c r="C1516" s="1" t="s">
        <v>740</v>
      </c>
      <c r="D1516" s="1" t="s">
        <v>122</v>
      </c>
      <c r="E1516" s="3">
        <v>47087</v>
      </c>
      <c r="F1516" s="2"/>
    </row>
    <row r="1517" spans="1:6" ht="24.95" customHeight="1" x14ac:dyDescent="0.4">
      <c r="A1517" s="2" t="s">
        <v>827</v>
      </c>
      <c r="B1517" s="1" t="s">
        <v>645</v>
      </c>
      <c r="C1517" s="1" t="s">
        <v>740</v>
      </c>
      <c r="D1517" s="1" t="s">
        <v>324</v>
      </c>
      <c r="E1517" s="3">
        <v>47087</v>
      </c>
      <c r="F1517" s="2"/>
    </row>
    <row r="1518" spans="1:6" ht="24.95" customHeight="1" x14ac:dyDescent="0.4">
      <c r="A1518" s="2" t="s">
        <v>96</v>
      </c>
      <c r="B1518" s="1" t="s">
        <v>645</v>
      </c>
      <c r="C1518" s="1" t="s">
        <v>740</v>
      </c>
      <c r="D1518" s="1" t="s">
        <v>192</v>
      </c>
      <c r="E1518" s="3">
        <v>47087</v>
      </c>
      <c r="F1518" s="2"/>
    </row>
    <row r="1519" spans="1:6" ht="24.95" customHeight="1" x14ac:dyDescent="0.4">
      <c r="A1519" s="2" t="s">
        <v>2551</v>
      </c>
      <c r="B1519" s="1" t="s">
        <v>645</v>
      </c>
      <c r="C1519" s="1" t="s">
        <v>740</v>
      </c>
      <c r="D1519" s="1" t="s">
        <v>192</v>
      </c>
      <c r="E1519" s="3">
        <v>47087</v>
      </c>
      <c r="F1519" s="2"/>
    </row>
    <row r="1520" spans="1:6" ht="24.95" customHeight="1" x14ac:dyDescent="0.4">
      <c r="A1520" s="2" t="s">
        <v>2570</v>
      </c>
      <c r="B1520" s="1" t="s">
        <v>645</v>
      </c>
      <c r="C1520" s="1" t="s">
        <v>740</v>
      </c>
      <c r="D1520" s="1" t="s">
        <v>531</v>
      </c>
      <c r="E1520" s="3">
        <v>47087</v>
      </c>
      <c r="F1520" s="2"/>
    </row>
    <row r="1521" spans="1:6" ht="24.95" customHeight="1" x14ac:dyDescent="0.4">
      <c r="A1521" s="2" t="s">
        <v>1584</v>
      </c>
      <c r="B1521" s="1" t="s">
        <v>2766</v>
      </c>
      <c r="C1521" s="1" t="str">
        <f>"廿日市市天神2-17"</f>
        <v>廿日市市天神2-17</v>
      </c>
      <c r="D1521" s="1" t="s">
        <v>2767</v>
      </c>
      <c r="E1521" s="3">
        <v>46721</v>
      </c>
      <c r="F1521" s="2"/>
    </row>
    <row r="1522" spans="1:6" ht="24.95" customHeight="1" x14ac:dyDescent="0.4">
      <c r="A1522" s="2" t="s">
        <v>2772</v>
      </c>
      <c r="B1522" s="1" t="s">
        <v>2227</v>
      </c>
      <c r="C1522" s="1" t="str">
        <f>"廿日市市廿日市1-7-5"</f>
        <v>廿日市市廿日市1-7-5</v>
      </c>
      <c r="D1522" s="1" t="s">
        <v>30</v>
      </c>
      <c r="E1522" s="3">
        <v>47087</v>
      </c>
      <c r="F1522" s="2"/>
    </row>
    <row r="1523" spans="1:6" ht="24.95" customHeight="1" x14ac:dyDescent="0.4">
      <c r="A1523" s="2" t="s">
        <v>454</v>
      </c>
      <c r="B1523" s="1" t="s">
        <v>93</v>
      </c>
      <c r="C1523" s="1" t="str">
        <f>"廿日市市福面3-1-20"</f>
        <v>廿日市市福面3-1-20</v>
      </c>
      <c r="D1523" s="1" t="s">
        <v>279</v>
      </c>
      <c r="E1523" s="3">
        <v>47087</v>
      </c>
      <c r="F1523" s="2"/>
    </row>
    <row r="1524" spans="1:6" ht="24.95" customHeight="1" x14ac:dyDescent="0.4">
      <c r="A1524" s="2" t="s">
        <v>848</v>
      </c>
      <c r="B1524" s="1" t="s">
        <v>849</v>
      </c>
      <c r="C1524" s="1" t="str">
        <f>"廿日市市平良2-10-37"</f>
        <v>廿日市市平良2-10-37</v>
      </c>
      <c r="D1524" s="1" t="s">
        <v>30</v>
      </c>
      <c r="E1524" s="3">
        <v>47087</v>
      </c>
      <c r="F1524" s="2"/>
    </row>
    <row r="1525" spans="1:6" ht="24.95" customHeight="1" x14ac:dyDescent="0.4">
      <c r="A1525" s="2" t="s">
        <v>273</v>
      </c>
      <c r="B1525" s="1" t="s">
        <v>357</v>
      </c>
      <c r="C1525" s="1" t="str">
        <f>"廿日市市平良山手11-11"</f>
        <v>廿日市市平良山手11-11</v>
      </c>
      <c r="D1525" s="1" t="s">
        <v>104</v>
      </c>
      <c r="E1525" s="3">
        <v>47087</v>
      </c>
      <c r="F1525" s="2"/>
    </row>
    <row r="1526" spans="1:6" ht="24.95" customHeight="1" x14ac:dyDescent="0.4">
      <c r="A1526" s="2" t="s">
        <v>1712</v>
      </c>
      <c r="B1526" s="1" t="s">
        <v>1305</v>
      </c>
      <c r="C1526" s="1" t="str">
        <f>"廿日市市本町5-12"</f>
        <v>廿日市市本町5-12</v>
      </c>
      <c r="D1526" s="1" t="s">
        <v>104</v>
      </c>
      <c r="E1526" s="3">
        <v>47087</v>
      </c>
      <c r="F1526" s="2"/>
    </row>
    <row r="1527" spans="1:6" ht="24.95" customHeight="1" x14ac:dyDescent="0.4">
      <c r="A1527" s="2" t="s">
        <v>53</v>
      </c>
      <c r="B1527" s="1" t="s">
        <v>2225</v>
      </c>
      <c r="C1527" s="1" t="str">
        <f>"廿日市市本町6-2"</f>
        <v>廿日市市本町6-2</v>
      </c>
      <c r="D1527" s="1" t="s">
        <v>2226</v>
      </c>
      <c r="E1527" s="3">
        <v>45991</v>
      </c>
      <c r="F1527" s="2"/>
    </row>
    <row r="1528" spans="1:6" ht="24.95" customHeight="1" x14ac:dyDescent="0.4">
      <c r="A1528" s="2" t="s">
        <v>1021</v>
      </c>
      <c r="B1528" s="1" t="s">
        <v>137</v>
      </c>
      <c r="C1528" s="1" t="str">
        <f>"廿日市市陽光台5-12"</f>
        <v>廿日市市陽光台5-12</v>
      </c>
      <c r="D1528" s="1" t="s">
        <v>656</v>
      </c>
      <c r="E1528" s="3">
        <v>47087</v>
      </c>
      <c r="F1528" s="2"/>
    </row>
    <row r="1529" spans="1:6" ht="24.95" customHeight="1" x14ac:dyDescent="0.4">
      <c r="A1529" s="2" t="s">
        <v>2382</v>
      </c>
      <c r="B1529" s="1" t="s">
        <v>137</v>
      </c>
      <c r="C1529" s="1" t="str">
        <f>"廿日市市陽光台5-12"</f>
        <v>廿日市市陽光台5-12</v>
      </c>
      <c r="D1529" s="1" t="s">
        <v>30</v>
      </c>
      <c r="E1529" s="3">
        <v>45626</v>
      </c>
      <c r="F1529" s="2"/>
    </row>
    <row r="1530" spans="1:6" ht="24.95" customHeight="1" x14ac:dyDescent="0.4">
      <c r="A1530" s="2" t="s">
        <v>1164</v>
      </c>
      <c r="B1530" s="1" t="s">
        <v>137</v>
      </c>
      <c r="C1530" s="1" t="str">
        <f>"廿日市市陽光台5-12"</f>
        <v>廿日市市陽光台5-12</v>
      </c>
      <c r="D1530" s="1" t="s">
        <v>122</v>
      </c>
      <c r="E1530" s="3">
        <v>45626</v>
      </c>
      <c r="F1530" s="2"/>
    </row>
    <row r="1531" spans="1:6" ht="24.95" customHeight="1" x14ac:dyDescent="0.4">
      <c r="A1531" s="2" t="s">
        <v>2477</v>
      </c>
      <c r="B1531" s="1" t="s">
        <v>137</v>
      </c>
      <c r="C1531" s="1" t="str">
        <f>"廿日市市陽光台5-12"</f>
        <v>廿日市市陽光台5-12</v>
      </c>
      <c r="D1531" s="1" t="s">
        <v>122</v>
      </c>
      <c r="E1531" s="3">
        <v>46721</v>
      </c>
      <c r="F1531" s="2"/>
    </row>
    <row r="1532" spans="1:6" ht="24.95" customHeight="1" x14ac:dyDescent="0.4">
      <c r="A1532" s="2" t="s">
        <v>2566</v>
      </c>
      <c r="B1532" s="1" t="s">
        <v>137</v>
      </c>
      <c r="C1532" s="1" t="str">
        <f>"廿日市市陽光台5-12"</f>
        <v>廿日市市陽光台5-12</v>
      </c>
      <c r="D1532" s="1" t="s">
        <v>656</v>
      </c>
      <c r="E1532" s="3">
        <v>47087</v>
      </c>
      <c r="F1532" s="2"/>
    </row>
    <row r="1533" spans="1:6" ht="24.95" customHeight="1" x14ac:dyDescent="0.4">
      <c r="A1533" s="2" t="s">
        <v>1070</v>
      </c>
      <c r="B1533" s="1" t="s">
        <v>651</v>
      </c>
      <c r="C1533" s="1" t="str">
        <f t="shared" ref="C1533:C1542" si="35">"廿日市市陽光台5-9"</f>
        <v>廿日市市陽光台5-9</v>
      </c>
      <c r="D1533" s="1" t="s">
        <v>921</v>
      </c>
      <c r="E1533" s="3">
        <v>47087</v>
      </c>
      <c r="F1533" s="2"/>
    </row>
    <row r="1534" spans="1:6" ht="24.95" customHeight="1" x14ac:dyDescent="0.4">
      <c r="A1534" s="2" t="s">
        <v>362</v>
      </c>
      <c r="B1534" s="1" t="s">
        <v>651</v>
      </c>
      <c r="C1534" s="1" t="str">
        <f t="shared" si="35"/>
        <v>廿日市市陽光台5-9</v>
      </c>
      <c r="D1534" s="1" t="s">
        <v>378</v>
      </c>
      <c r="E1534" s="3">
        <v>47087</v>
      </c>
      <c r="F1534" s="2"/>
    </row>
    <row r="1535" spans="1:6" ht="24.95" customHeight="1" x14ac:dyDescent="0.4">
      <c r="A1535" s="2" t="s">
        <v>961</v>
      </c>
      <c r="B1535" s="1" t="s">
        <v>651</v>
      </c>
      <c r="C1535" s="1" t="str">
        <f t="shared" si="35"/>
        <v>廿日市市陽光台5-9</v>
      </c>
      <c r="D1535" s="1" t="s">
        <v>324</v>
      </c>
      <c r="E1535" s="3">
        <v>47087</v>
      </c>
      <c r="F1535" s="2"/>
    </row>
    <row r="1536" spans="1:6" ht="24.95" customHeight="1" x14ac:dyDescent="0.4">
      <c r="A1536" s="2" t="s">
        <v>2132</v>
      </c>
      <c r="B1536" s="1" t="s">
        <v>651</v>
      </c>
      <c r="C1536" s="1" t="str">
        <f t="shared" si="35"/>
        <v>廿日市市陽光台5-9</v>
      </c>
      <c r="D1536" s="1" t="s">
        <v>30</v>
      </c>
      <c r="E1536" s="3">
        <v>47087</v>
      </c>
      <c r="F1536" s="2"/>
    </row>
    <row r="1537" spans="1:6" ht="24.95" customHeight="1" x14ac:dyDescent="0.4">
      <c r="A1537" s="2" t="s">
        <v>2356</v>
      </c>
      <c r="B1537" s="1" t="s">
        <v>651</v>
      </c>
      <c r="C1537" s="1" t="str">
        <f t="shared" si="35"/>
        <v>廿日市市陽光台5-9</v>
      </c>
      <c r="D1537" s="1" t="s">
        <v>335</v>
      </c>
      <c r="E1537" s="3">
        <v>45626</v>
      </c>
      <c r="F1537" s="2"/>
    </row>
    <row r="1538" spans="1:6" ht="24.95" customHeight="1" x14ac:dyDescent="0.4">
      <c r="A1538" s="2" t="s">
        <v>701</v>
      </c>
      <c r="B1538" s="1" t="s">
        <v>651</v>
      </c>
      <c r="C1538" s="1" t="str">
        <f t="shared" si="35"/>
        <v>廿日市市陽光台5-9</v>
      </c>
      <c r="D1538" s="1" t="s">
        <v>324</v>
      </c>
      <c r="E1538" s="3">
        <v>46721</v>
      </c>
      <c r="F1538" s="2"/>
    </row>
    <row r="1539" spans="1:6" ht="24.95" customHeight="1" x14ac:dyDescent="0.4">
      <c r="A1539" s="2" t="s">
        <v>1788</v>
      </c>
      <c r="B1539" s="1" t="s">
        <v>651</v>
      </c>
      <c r="C1539" s="1" t="str">
        <f t="shared" si="35"/>
        <v>廿日市市陽光台5-9</v>
      </c>
      <c r="D1539" s="1" t="s">
        <v>717</v>
      </c>
      <c r="E1539" s="3">
        <v>47087</v>
      </c>
      <c r="F1539" s="2"/>
    </row>
    <row r="1540" spans="1:6" ht="24.95" customHeight="1" x14ac:dyDescent="0.4">
      <c r="A1540" s="2" t="s">
        <v>1845</v>
      </c>
      <c r="B1540" s="1" t="s">
        <v>651</v>
      </c>
      <c r="C1540" s="1" t="str">
        <f t="shared" si="35"/>
        <v>廿日市市陽光台5-9</v>
      </c>
      <c r="D1540" s="1" t="s">
        <v>717</v>
      </c>
      <c r="E1540" s="3">
        <v>47087</v>
      </c>
      <c r="F1540" s="2"/>
    </row>
    <row r="1541" spans="1:6" ht="24.95" customHeight="1" x14ac:dyDescent="0.4">
      <c r="A1541" s="2" t="s">
        <v>2605</v>
      </c>
      <c r="B1541" s="1" t="s">
        <v>651</v>
      </c>
      <c r="C1541" s="1" t="str">
        <f t="shared" si="35"/>
        <v>廿日市市陽光台5-9</v>
      </c>
      <c r="D1541" s="1" t="s">
        <v>438</v>
      </c>
      <c r="E1541" s="3">
        <v>47087</v>
      </c>
      <c r="F1541" s="2"/>
    </row>
    <row r="1542" spans="1:6" ht="24.95" customHeight="1" x14ac:dyDescent="0.4">
      <c r="A1542" s="2" t="s">
        <v>539</v>
      </c>
      <c r="B1542" s="1" t="s">
        <v>651</v>
      </c>
      <c r="C1542" s="1" t="str">
        <f t="shared" si="35"/>
        <v>廿日市市陽光台5-9</v>
      </c>
      <c r="D1542" s="1" t="s">
        <v>921</v>
      </c>
      <c r="E1542" s="3">
        <v>47087</v>
      </c>
      <c r="F1542" s="2"/>
    </row>
    <row r="1543" spans="1:6" ht="24.95" customHeight="1" x14ac:dyDescent="0.4">
      <c r="A1543" s="2" t="s">
        <v>1161</v>
      </c>
      <c r="B1543" s="1" t="s">
        <v>1163</v>
      </c>
      <c r="C1543" s="1" t="str">
        <f>"安芸高田市吉田町吉田1853-8"</f>
        <v>安芸高田市吉田町吉田1853-8</v>
      </c>
      <c r="D1543" s="1" t="s">
        <v>139</v>
      </c>
      <c r="E1543" s="3">
        <v>47087</v>
      </c>
      <c r="F1543" s="2"/>
    </row>
    <row r="1544" spans="1:6" ht="24.95" customHeight="1" x14ac:dyDescent="0.4">
      <c r="A1544" s="2" t="s">
        <v>1095</v>
      </c>
      <c r="B1544" s="1" t="s">
        <v>2023</v>
      </c>
      <c r="C1544" s="1" t="s">
        <v>56</v>
      </c>
      <c r="D1544" s="1" t="s">
        <v>122</v>
      </c>
      <c r="E1544" s="3">
        <v>47087</v>
      </c>
      <c r="F1544" s="2"/>
    </row>
    <row r="1545" spans="1:6" ht="24.95" customHeight="1" x14ac:dyDescent="0.4">
      <c r="A1545" s="2" t="s">
        <v>2024</v>
      </c>
      <c r="B1545" s="1" t="s">
        <v>2023</v>
      </c>
      <c r="C1545" s="1" t="s">
        <v>56</v>
      </c>
      <c r="D1545" s="1" t="s">
        <v>324</v>
      </c>
      <c r="E1545" s="3">
        <v>47087</v>
      </c>
      <c r="F1545" s="2"/>
    </row>
    <row r="1546" spans="1:6" ht="24.95" customHeight="1" x14ac:dyDescent="0.4">
      <c r="A1546" s="2" t="s">
        <v>863</v>
      </c>
      <c r="B1546" s="1" t="s">
        <v>2023</v>
      </c>
      <c r="C1546" s="1" t="s">
        <v>56</v>
      </c>
      <c r="D1546" s="1" t="s">
        <v>531</v>
      </c>
      <c r="E1546" s="3">
        <v>47087</v>
      </c>
      <c r="F1546" s="2"/>
    </row>
    <row r="1547" spans="1:6" ht="24.95" customHeight="1" x14ac:dyDescent="0.4">
      <c r="A1547" s="2" t="s">
        <v>2025</v>
      </c>
      <c r="B1547" s="1" t="s">
        <v>2023</v>
      </c>
      <c r="C1547" s="1" t="s">
        <v>56</v>
      </c>
      <c r="D1547" s="1" t="s">
        <v>30</v>
      </c>
      <c r="E1547" s="3">
        <v>47087</v>
      </c>
      <c r="F1547" s="2"/>
    </row>
    <row r="1548" spans="1:6" ht="24.95" customHeight="1" x14ac:dyDescent="0.4">
      <c r="A1548" s="2" t="s">
        <v>2052</v>
      </c>
      <c r="B1548" s="1" t="s">
        <v>2023</v>
      </c>
      <c r="C1548" s="1" t="s">
        <v>56</v>
      </c>
      <c r="D1548" s="1" t="s">
        <v>88</v>
      </c>
      <c r="E1548" s="3">
        <v>47087</v>
      </c>
      <c r="F1548" s="2"/>
    </row>
    <row r="1549" spans="1:6" ht="24.95" customHeight="1" x14ac:dyDescent="0.4">
      <c r="A1549" s="2" t="s">
        <v>2143</v>
      </c>
      <c r="B1549" s="1" t="s">
        <v>2023</v>
      </c>
      <c r="C1549" s="1" t="s">
        <v>56</v>
      </c>
      <c r="D1549" s="1" t="s">
        <v>531</v>
      </c>
      <c r="E1549" s="3">
        <v>47087</v>
      </c>
      <c r="F1549" s="2"/>
    </row>
    <row r="1550" spans="1:6" ht="24.95" customHeight="1" x14ac:dyDescent="0.4">
      <c r="A1550" s="2" t="s">
        <v>365</v>
      </c>
      <c r="B1550" s="1" t="s">
        <v>2023</v>
      </c>
      <c r="C1550" s="1" t="s">
        <v>56</v>
      </c>
      <c r="D1550" s="1" t="s">
        <v>30</v>
      </c>
      <c r="E1550" s="3">
        <v>47087</v>
      </c>
      <c r="F1550" s="2"/>
    </row>
    <row r="1551" spans="1:6" ht="24.95" customHeight="1" x14ac:dyDescent="0.4">
      <c r="A1551" s="2" t="s">
        <v>68</v>
      </c>
      <c r="B1551" s="1" t="s">
        <v>2023</v>
      </c>
      <c r="C1551" s="1" t="s">
        <v>56</v>
      </c>
      <c r="D1551" s="1" t="s">
        <v>324</v>
      </c>
      <c r="E1551" s="3">
        <v>47087</v>
      </c>
      <c r="F1551" s="2"/>
    </row>
    <row r="1552" spans="1:6" ht="24.95" customHeight="1" x14ac:dyDescent="0.4">
      <c r="A1552" s="2" t="s">
        <v>2150</v>
      </c>
      <c r="B1552" s="1" t="s">
        <v>2023</v>
      </c>
      <c r="C1552" s="1" t="s">
        <v>56</v>
      </c>
      <c r="D1552" s="1" t="s">
        <v>344</v>
      </c>
      <c r="E1552" s="3">
        <v>47087</v>
      </c>
      <c r="F1552" s="2"/>
    </row>
    <row r="1553" spans="1:6" ht="24.95" customHeight="1" x14ac:dyDescent="0.4">
      <c r="A1553" s="2" t="s">
        <v>2157</v>
      </c>
      <c r="B1553" s="1" t="s">
        <v>2023</v>
      </c>
      <c r="C1553" s="1" t="s">
        <v>56</v>
      </c>
      <c r="D1553" s="1" t="s">
        <v>2022</v>
      </c>
      <c r="E1553" s="3">
        <v>47087</v>
      </c>
      <c r="F1553" s="2"/>
    </row>
    <row r="1554" spans="1:6" ht="24.95" customHeight="1" x14ac:dyDescent="0.4">
      <c r="A1554" s="2" t="s">
        <v>314</v>
      </c>
      <c r="B1554" s="1" t="s">
        <v>2023</v>
      </c>
      <c r="C1554" s="1" t="s">
        <v>56</v>
      </c>
      <c r="D1554" s="1" t="s">
        <v>531</v>
      </c>
      <c r="E1554" s="3">
        <v>47087</v>
      </c>
      <c r="F1554" s="2"/>
    </row>
    <row r="1555" spans="1:6" ht="24.95" customHeight="1" x14ac:dyDescent="0.4">
      <c r="A1555" s="2" t="s">
        <v>2190</v>
      </c>
      <c r="B1555" s="1" t="s">
        <v>2023</v>
      </c>
      <c r="C1555" s="1" t="s">
        <v>56</v>
      </c>
      <c r="D1555" s="1" t="s">
        <v>1027</v>
      </c>
      <c r="E1555" s="3">
        <v>47087</v>
      </c>
      <c r="F1555" s="2"/>
    </row>
    <row r="1556" spans="1:6" ht="24.95" customHeight="1" x14ac:dyDescent="0.4">
      <c r="A1556" s="2" t="s">
        <v>2450</v>
      </c>
      <c r="B1556" s="1" t="s">
        <v>2023</v>
      </c>
      <c r="C1556" s="1" t="s">
        <v>56</v>
      </c>
      <c r="D1556" s="1" t="s">
        <v>30</v>
      </c>
      <c r="E1556" s="3">
        <v>46356</v>
      </c>
      <c r="F1556" s="2"/>
    </row>
    <row r="1557" spans="1:6" ht="24.95" customHeight="1" x14ac:dyDescent="0.4">
      <c r="A1557" s="2" t="s">
        <v>2006</v>
      </c>
      <c r="B1557" s="1" t="s">
        <v>2023</v>
      </c>
      <c r="C1557" s="1" t="s">
        <v>56</v>
      </c>
      <c r="D1557" s="1" t="s">
        <v>30</v>
      </c>
      <c r="E1557" s="3">
        <v>47087</v>
      </c>
      <c r="F1557" s="2"/>
    </row>
    <row r="1558" spans="1:6" ht="24.95" customHeight="1" x14ac:dyDescent="0.4">
      <c r="A1558" s="2" t="s">
        <v>2619</v>
      </c>
      <c r="B1558" s="1" t="s">
        <v>2023</v>
      </c>
      <c r="C1558" s="1" t="s">
        <v>56</v>
      </c>
      <c r="D1558" s="1" t="s">
        <v>30</v>
      </c>
      <c r="E1558" s="3">
        <v>47087</v>
      </c>
      <c r="F1558" s="2"/>
    </row>
    <row r="1559" spans="1:6" ht="24.95" customHeight="1" x14ac:dyDescent="0.4">
      <c r="A1559" s="2" t="s">
        <v>741</v>
      </c>
      <c r="B1559" s="1" t="s">
        <v>881</v>
      </c>
      <c r="C1559" s="1" t="s">
        <v>5</v>
      </c>
      <c r="D1559" s="1" t="s">
        <v>139</v>
      </c>
      <c r="E1559" s="3">
        <v>47087</v>
      </c>
      <c r="F1559" s="2"/>
    </row>
    <row r="1560" spans="1:6" ht="24.95" customHeight="1" x14ac:dyDescent="0.4">
      <c r="A1560" s="2" t="s">
        <v>2502</v>
      </c>
      <c r="B1560" s="1" t="s">
        <v>881</v>
      </c>
      <c r="C1560" s="1" t="s">
        <v>5</v>
      </c>
      <c r="D1560" s="1" t="s">
        <v>139</v>
      </c>
      <c r="E1560" s="3">
        <v>46721</v>
      </c>
      <c r="F1560" s="2"/>
    </row>
    <row r="1561" spans="1:6" ht="24.95" customHeight="1" x14ac:dyDescent="0.4">
      <c r="A1561" s="2" t="s">
        <v>677</v>
      </c>
      <c r="B1561" s="1" t="s">
        <v>834</v>
      </c>
      <c r="C1561" s="1" t="str">
        <f>"安芸高田市吉田町常友341-1"</f>
        <v>安芸高田市吉田町常友341-1</v>
      </c>
      <c r="D1561" s="1" t="s">
        <v>835</v>
      </c>
      <c r="E1561" s="3">
        <v>47087</v>
      </c>
      <c r="F1561" s="2"/>
    </row>
    <row r="1562" spans="1:6" ht="24.95" customHeight="1" x14ac:dyDescent="0.4">
      <c r="A1562" s="2" t="s">
        <v>2576</v>
      </c>
      <c r="B1562" s="1" t="s">
        <v>1916</v>
      </c>
      <c r="C1562" s="1" t="str">
        <f>"安芸高田市向原町坂428-2"</f>
        <v>安芸高田市向原町坂428-2</v>
      </c>
      <c r="D1562" s="1" t="s">
        <v>2577</v>
      </c>
      <c r="E1562" s="3">
        <v>47087</v>
      </c>
      <c r="F1562" s="2"/>
    </row>
    <row r="1563" spans="1:6" ht="24.95" customHeight="1" x14ac:dyDescent="0.4">
      <c r="A1563" s="2" t="s">
        <v>2697</v>
      </c>
      <c r="B1563" s="1" t="s">
        <v>2698</v>
      </c>
      <c r="C1563" s="1" t="s">
        <v>2179</v>
      </c>
      <c r="D1563" s="1" t="s">
        <v>2699</v>
      </c>
      <c r="E1563" s="3">
        <v>45991</v>
      </c>
      <c r="F1563" s="2"/>
    </row>
    <row r="1564" spans="1:6" ht="24.95" customHeight="1" x14ac:dyDescent="0.4">
      <c r="A1564" s="2" t="s">
        <v>754</v>
      </c>
      <c r="B1564" s="1" t="s">
        <v>694</v>
      </c>
      <c r="C1564" s="1" t="s">
        <v>218</v>
      </c>
      <c r="D1564" s="1" t="s">
        <v>30</v>
      </c>
      <c r="E1564" s="3">
        <v>47087</v>
      </c>
      <c r="F1564" s="2"/>
    </row>
    <row r="1565" spans="1:6" ht="24.95" customHeight="1" x14ac:dyDescent="0.4">
      <c r="A1565" s="2" t="s">
        <v>2182</v>
      </c>
      <c r="B1565" s="1" t="s">
        <v>2183</v>
      </c>
      <c r="C1565" s="1" t="str">
        <f>"安芸高田市甲田町高田原1472-2"</f>
        <v>安芸高田市甲田町高田原1472-2</v>
      </c>
      <c r="D1565" s="1" t="s">
        <v>139</v>
      </c>
      <c r="E1565" s="3">
        <v>47087</v>
      </c>
      <c r="F1565" s="2"/>
    </row>
    <row r="1566" spans="1:6" ht="24.95" customHeight="1" x14ac:dyDescent="0.4">
      <c r="A1566" s="2" t="s">
        <v>225</v>
      </c>
      <c r="B1566" s="1" t="s">
        <v>909</v>
      </c>
      <c r="C1566" s="1" t="str">
        <f>"安芸高田市甲田町高田原1474-3"</f>
        <v>安芸高田市甲田町高田原1474-3</v>
      </c>
      <c r="D1566" s="1" t="s">
        <v>41</v>
      </c>
      <c r="E1566" s="3">
        <v>47087</v>
      </c>
      <c r="F1566" s="2"/>
    </row>
    <row r="1567" spans="1:6" ht="24.95" customHeight="1" x14ac:dyDescent="0.4">
      <c r="A1567" s="2" t="s">
        <v>2117</v>
      </c>
      <c r="B1567" s="1" t="s">
        <v>2672</v>
      </c>
      <c r="C1567" s="1" t="str">
        <f>"安芸高田市高宮町佐々部983-17"</f>
        <v>安芸高田市高宮町佐々部983-17</v>
      </c>
      <c r="D1567" s="1" t="s">
        <v>41</v>
      </c>
      <c r="E1567" s="3">
        <v>47087</v>
      </c>
      <c r="F1567" s="2"/>
    </row>
    <row r="1568" spans="1:6" ht="24.95" customHeight="1" x14ac:dyDescent="0.4">
      <c r="A1568" s="2" t="s">
        <v>2679</v>
      </c>
      <c r="B1568" s="1" t="s">
        <v>1650</v>
      </c>
      <c r="C1568" s="1" t="s">
        <v>2680</v>
      </c>
      <c r="D1568" s="1" t="s">
        <v>30</v>
      </c>
      <c r="E1568" s="3">
        <v>47087</v>
      </c>
      <c r="F1568" s="2"/>
    </row>
    <row r="1569" spans="1:6" ht="24.95" customHeight="1" x14ac:dyDescent="0.4">
      <c r="A1569" s="2" t="s">
        <v>2760</v>
      </c>
      <c r="B1569" s="1" t="s">
        <v>1650</v>
      </c>
      <c r="C1569" s="1" t="s">
        <v>2680</v>
      </c>
      <c r="D1569" s="1" t="s">
        <v>30</v>
      </c>
      <c r="E1569" s="3">
        <v>46356</v>
      </c>
      <c r="F1569" s="2"/>
    </row>
    <row r="1570" spans="1:6" ht="24.95" customHeight="1" x14ac:dyDescent="0.4">
      <c r="A1570" s="2" t="s">
        <v>2751</v>
      </c>
      <c r="B1570" s="1" t="s">
        <v>1650</v>
      </c>
      <c r="C1570" s="1" t="s">
        <v>2680</v>
      </c>
      <c r="D1570" s="1" t="s">
        <v>30</v>
      </c>
      <c r="E1570" s="3">
        <v>46356</v>
      </c>
      <c r="F1570" s="2"/>
    </row>
    <row r="1571" spans="1:6" ht="24.95" customHeight="1" x14ac:dyDescent="0.4">
      <c r="A1571" s="2" t="s">
        <v>464</v>
      </c>
      <c r="B1571" s="1" t="s">
        <v>2539</v>
      </c>
      <c r="C1571" s="1" t="str">
        <f>"江田島市江田島町秋月2-6-15"</f>
        <v>江田島市江田島町秋月2-6-15</v>
      </c>
      <c r="D1571" s="1" t="s">
        <v>192</v>
      </c>
      <c r="E1571" s="3">
        <v>47087</v>
      </c>
      <c r="F1571" s="2"/>
    </row>
    <row r="1572" spans="1:6" ht="24.95" customHeight="1" x14ac:dyDescent="0.4">
      <c r="A1572" s="2" t="s">
        <v>544</v>
      </c>
      <c r="B1572" s="1" t="s">
        <v>1949</v>
      </c>
      <c r="C1572" s="1" t="str">
        <f>"江田島市江田島町切串2-17-10"</f>
        <v>江田島市江田島町切串2-17-10</v>
      </c>
      <c r="D1572" s="1" t="s">
        <v>2719</v>
      </c>
      <c r="E1572" s="3">
        <v>46356</v>
      </c>
      <c r="F1572" s="2"/>
    </row>
    <row r="1573" spans="1:6" ht="24.95" customHeight="1" x14ac:dyDescent="0.4">
      <c r="A1573" s="2" t="s">
        <v>126</v>
      </c>
      <c r="B1573" s="1" t="s">
        <v>1276</v>
      </c>
      <c r="C1573" s="1" t="str">
        <f>"江田島市江田島町中央4-17-10"</f>
        <v>江田島市江田島町中央4-17-10</v>
      </c>
      <c r="D1573" s="1" t="s">
        <v>1027</v>
      </c>
      <c r="E1573" s="3">
        <v>47087</v>
      </c>
      <c r="F1573" s="2"/>
    </row>
    <row r="1574" spans="1:6" ht="24.95" customHeight="1" x14ac:dyDescent="0.4">
      <c r="A1574" s="2" t="s">
        <v>926</v>
      </c>
      <c r="B1574" s="1" t="s">
        <v>1276</v>
      </c>
      <c r="C1574" s="1" t="str">
        <f>"江田島市江田島町中央4-17-10"</f>
        <v>江田島市江田島町中央4-17-10</v>
      </c>
      <c r="D1574" s="1" t="s">
        <v>2540</v>
      </c>
      <c r="E1574" s="3">
        <v>47087</v>
      </c>
      <c r="F1574" s="2"/>
    </row>
    <row r="1575" spans="1:6" ht="24.95" customHeight="1" x14ac:dyDescent="0.4">
      <c r="A1575" s="2" t="s">
        <v>2050</v>
      </c>
      <c r="B1575" s="1" t="s">
        <v>424</v>
      </c>
      <c r="C1575" s="1" t="str">
        <f>"江田島市大柿町柿浦2076-8"</f>
        <v>江田島市大柿町柿浦2076-8</v>
      </c>
      <c r="D1575" s="1" t="s">
        <v>2051</v>
      </c>
      <c r="E1575" s="3">
        <v>47087</v>
      </c>
      <c r="F1575" s="2"/>
    </row>
    <row r="1576" spans="1:6" ht="24.95" customHeight="1" x14ac:dyDescent="0.4">
      <c r="A1576" s="2" t="s">
        <v>2088</v>
      </c>
      <c r="B1576" s="1" t="s">
        <v>2472</v>
      </c>
      <c r="C1576" s="1" t="str">
        <f>"江田島市大柿町小古江668-2"</f>
        <v>江田島市大柿町小古江668-2</v>
      </c>
      <c r="D1576" s="1" t="s">
        <v>279</v>
      </c>
      <c r="E1576" s="3">
        <v>46721</v>
      </c>
      <c r="F1576" s="2"/>
    </row>
    <row r="1577" spans="1:6" ht="24.95" customHeight="1" x14ac:dyDescent="0.4">
      <c r="A1577" s="2" t="s">
        <v>696</v>
      </c>
      <c r="B1577" s="1" t="s">
        <v>1138</v>
      </c>
      <c r="C1577" s="1" t="str">
        <f>"江田島市大柿町深江963-1"</f>
        <v>江田島市大柿町深江963-1</v>
      </c>
      <c r="D1577" s="1" t="s">
        <v>2168</v>
      </c>
      <c r="E1577" s="3">
        <v>47087</v>
      </c>
      <c r="F1577" s="2"/>
    </row>
    <row r="1578" spans="1:6" ht="24.95" customHeight="1" x14ac:dyDescent="0.4">
      <c r="A1578" s="2" t="s">
        <v>1200</v>
      </c>
      <c r="B1578" s="1" t="s">
        <v>1391</v>
      </c>
      <c r="C1578" s="1" t="s">
        <v>1541</v>
      </c>
      <c r="D1578" s="1" t="s">
        <v>324</v>
      </c>
      <c r="E1578" s="3">
        <v>47087</v>
      </c>
      <c r="F1578" s="2"/>
    </row>
    <row r="1579" spans="1:6" ht="24.95" customHeight="1" x14ac:dyDescent="0.4">
      <c r="A1579" s="2" t="s">
        <v>1750</v>
      </c>
      <c r="B1579" s="1" t="s">
        <v>1391</v>
      </c>
      <c r="C1579" s="1" t="s">
        <v>1541</v>
      </c>
      <c r="D1579" s="1" t="s">
        <v>279</v>
      </c>
      <c r="E1579" s="3">
        <v>47087</v>
      </c>
      <c r="F1579" s="2"/>
    </row>
    <row r="1580" spans="1:6" ht="24.95" customHeight="1" x14ac:dyDescent="0.4">
      <c r="A1580" s="2" t="s">
        <v>2001</v>
      </c>
      <c r="B1580" s="1" t="s">
        <v>1391</v>
      </c>
      <c r="C1580" s="1" t="s">
        <v>1541</v>
      </c>
      <c r="D1580" s="1" t="s">
        <v>30</v>
      </c>
      <c r="E1580" s="3">
        <v>47087</v>
      </c>
      <c r="F1580" s="2"/>
    </row>
    <row r="1581" spans="1:6" ht="24.95" customHeight="1" x14ac:dyDescent="0.4">
      <c r="A1581" s="2" t="s">
        <v>784</v>
      </c>
      <c r="B1581" s="1" t="s">
        <v>1391</v>
      </c>
      <c r="C1581" s="1" t="s">
        <v>1541</v>
      </c>
      <c r="D1581" s="1" t="s">
        <v>279</v>
      </c>
      <c r="E1581" s="3">
        <v>47087</v>
      </c>
      <c r="F1581" s="2"/>
    </row>
    <row r="1582" spans="1:6" ht="24.95" customHeight="1" x14ac:dyDescent="0.4">
      <c r="A1582" s="2" t="s">
        <v>2077</v>
      </c>
      <c r="B1582" s="1" t="s">
        <v>2078</v>
      </c>
      <c r="C1582" s="1" t="str">
        <f>"安芸郡府中町山田1-2-7"</f>
        <v>安芸郡府中町山田1-2-7</v>
      </c>
      <c r="D1582" s="1" t="s">
        <v>2071</v>
      </c>
      <c r="E1582" s="3">
        <v>47087</v>
      </c>
      <c r="F1582" s="2"/>
    </row>
    <row r="1583" spans="1:6" ht="24.95" customHeight="1" x14ac:dyDescent="0.4">
      <c r="A1583" s="2" t="s">
        <v>1247</v>
      </c>
      <c r="B1583" s="1" t="s">
        <v>2078</v>
      </c>
      <c r="C1583" s="1" t="str">
        <f>"安芸郡府中町山田1-2-7"</f>
        <v>安芸郡府中町山田1-2-7</v>
      </c>
      <c r="D1583" s="1" t="s">
        <v>30</v>
      </c>
      <c r="E1583" s="3">
        <v>45991</v>
      </c>
      <c r="F1583" s="2"/>
    </row>
    <row r="1584" spans="1:6" ht="24.95" customHeight="1" x14ac:dyDescent="0.4">
      <c r="A1584" s="2" t="s">
        <v>925</v>
      </c>
      <c r="B1584" s="1" t="s">
        <v>431</v>
      </c>
      <c r="C1584" s="1" t="str">
        <f>"安芸郡府中町鹿籠2-13-2"</f>
        <v>安芸郡府中町鹿籠2-13-2</v>
      </c>
      <c r="D1584" s="1" t="s">
        <v>104</v>
      </c>
      <c r="E1584" s="3">
        <v>47087</v>
      </c>
      <c r="F1584" s="2"/>
    </row>
    <row r="1585" spans="1:6" ht="24.95" customHeight="1" x14ac:dyDescent="0.4">
      <c r="A1585" s="2" t="s">
        <v>1111</v>
      </c>
      <c r="B1585" s="1" t="s">
        <v>1088</v>
      </c>
      <c r="C1585" s="1" t="str">
        <f>"安芸郡府中町鹿籠2-13-6"</f>
        <v>安芸郡府中町鹿籠2-13-6</v>
      </c>
      <c r="D1585" s="1" t="s">
        <v>242</v>
      </c>
      <c r="E1585" s="3">
        <v>47087</v>
      </c>
      <c r="F1585" s="2"/>
    </row>
    <row r="1586" spans="1:6" ht="24.95" customHeight="1" x14ac:dyDescent="0.4">
      <c r="A1586" s="2" t="s">
        <v>1772</v>
      </c>
      <c r="B1586" s="1" t="s">
        <v>1774</v>
      </c>
      <c r="C1586" s="1" t="str">
        <f>"安芸郡府中町青崎中24-26"</f>
        <v>安芸郡府中町青崎中24-26</v>
      </c>
      <c r="D1586" s="1" t="s">
        <v>139</v>
      </c>
      <c r="E1586" s="3">
        <v>47087</v>
      </c>
      <c r="F1586" s="2"/>
    </row>
    <row r="1587" spans="1:6" ht="24.95" customHeight="1" x14ac:dyDescent="0.4">
      <c r="A1587" s="2" t="s">
        <v>369</v>
      </c>
      <c r="B1587" s="1" t="s">
        <v>395</v>
      </c>
      <c r="C1587" s="1" t="str">
        <f>"安芸郡府中町青崎中24-26-5F"</f>
        <v>安芸郡府中町青崎中24-26-5F</v>
      </c>
      <c r="D1587" s="1" t="s">
        <v>201</v>
      </c>
      <c r="E1587" s="3">
        <v>47087</v>
      </c>
      <c r="F1587" s="2"/>
    </row>
    <row r="1588" spans="1:6" ht="24.95" customHeight="1" x14ac:dyDescent="0.4">
      <c r="A1588" s="2" t="s">
        <v>1971</v>
      </c>
      <c r="B1588" s="1" t="s">
        <v>1972</v>
      </c>
      <c r="C1588" s="1" t="str">
        <f>"安芸郡府中町青崎中24-26-6F"</f>
        <v>安芸郡府中町青崎中24-26-6F</v>
      </c>
      <c r="D1588" s="1" t="s">
        <v>586</v>
      </c>
      <c r="E1588" s="3">
        <v>47087</v>
      </c>
      <c r="F1588" s="2"/>
    </row>
    <row r="1589" spans="1:6" ht="24.95" customHeight="1" x14ac:dyDescent="0.4">
      <c r="A1589" s="2" t="s">
        <v>1225</v>
      </c>
      <c r="B1589" s="1" t="s">
        <v>1337</v>
      </c>
      <c r="C1589" s="1" t="str">
        <f t="shared" ref="C1589:C1617" si="36">"安芸郡府中町青崎南2-15"</f>
        <v>安芸郡府中町青崎南2-15</v>
      </c>
      <c r="D1589" s="1" t="s">
        <v>179</v>
      </c>
      <c r="E1589" s="3">
        <v>47087</v>
      </c>
      <c r="F1589" s="2"/>
    </row>
    <row r="1590" spans="1:6" ht="24.95" customHeight="1" x14ac:dyDescent="0.4">
      <c r="A1590" s="2" t="s">
        <v>1526</v>
      </c>
      <c r="B1590" s="1" t="s">
        <v>1337</v>
      </c>
      <c r="C1590" s="1" t="str">
        <f t="shared" si="36"/>
        <v>安芸郡府中町青崎南2-15</v>
      </c>
      <c r="D1590" s="1" t="s">
        <v>122</v>
      </c>
      <c r="E1590" s="3">
        <v>47087</v>
      </c>
      <c r="F1590" s="2"/>
    </row>
    <row r="1591" spans="1:6" ht="24.95" customHeight="1" x14ac:dyDescent="0.4">
      <c r="A1591" s="2" t="s">
        <v>1342</v>
      </c>
      <c r="B1591" s="1" t="s">
        <v>1337</v>
      </c>
      <c r="C1591" s="1" t="str">
        <f t="shared" si="36"/>
        <v>安芸郡府中町青崎南2-15</v>
      </c>
      <c r="D1591" s="1" t="s">
        <v>179</v>
      </c>
      <c r="E1591" s="3">
        <v>47087</v>
      </c>
      <c r="F1591" s="2"/>
    </row>
    <row r="1592" spans="1:6" ht="24.95" customHeight="1" x14ac:dyDescent="0.4">
      <c r="A1592" s="2" t="s">
        <v>1546</v>
      </c>
      <c r="B1592" s="1" t="s">
        <v>1337</v>
      </c>
      <c r="C1592" s="1" t="str">
        <f t="shared" si="36"/>
        <v>安芸郡府中町青崎南2-15</v>
      </c>
      <c r="D1592" s="1" t="s">
        <v>179</v>
      </c>
      <c r="E1592" s="3">
        <v>47087</v>
      </c>
      <c r="F1592" s="2"/>
    </row>
    <row r="1593" spans="1:6" ht="24.95" customHeight="1" x14ac:dyDescent="0.4">
      <c r="A1593" s="2" t="s">
        <v>1547</v>
      </c>
      <c r="B1593" s="1" t="s">
        <v>1337</v>
      </c>
      <c r="C1593" s="1" t="str">
        <f t="shared" si="36"/>
        <v>安芸郡府中町青崎南2-15</v>
      </c>
      <c r="D1593" s="1" t="s">
        <v>240</v>
      </c>
      <c r="E1593" s="3">
        <v>47087</v>
      </c>
      <c r="F1593" s="2"/>
    </row>
    <row r="1594" spans="1:6" ht="24.95" customHeight="1" x14ac:dyDescent="0.4">
      <c r="A1594" s="2" t="s">
        <v>1368</v>
      </c>
      <c r="B1594" s="1" t="s">
        <v>1337</v>
      </c>
      <c r="C1594" s="1" t="str">
        <f t="shared" si="36"/>
        <v>安芸郡府中町青崎南2-15</v>
      </c>
      <c r="D1594" s="1" t="s">
        <v>1173</v>
      </c>
      <c r="E1594" s="3">
        <v>47087</v>
      </c>
      <c r="F1594" s="2"/>
    </row>
    <row r="1595" spans="1:6" ht="24.95" customHeight="1" x14ac:dyDescent="0.4">
      <c r="A1595" s="2" t="s">
        <v>1549</v>
      </c>
      <c r="B1595" s="1" t="s">
        <v>1337</v>
      </c>
      <c r="C1595" s="1" t="str">
        <f t="shared" si="36"/>
        <v>安芸郡府中町青崎南2-15</v>
      </c>
      <c r="D1595" s="1" t="s">
        <v>179</v>
      </c>
      <c r="E1595" s="3">
        <v>47087</v>
      </c>
      <c r="F1595" s="2"/>
    </row>
    <row r="1596" spans="1:6" ht="24.95" customHeight="1" x14ac:dyDescent="0.4">
      <c r="A1596" s="2" t="s">
        <v>60</v>
      </c>
      <c r="B1596" s="1" t="s">
        <v>1337</v>
      </c>
      <c r="C1596" s="1" t="str">
        <f t="shared" si="36"/>
        <v>安芸郡府中町青崎南2-15</v>
      </c>
      <c r="D1596" s="1" t="s">
        <v>179</v>
      </c>
      <c r="E1596" s="3">
        <v>47087</v>
      </c>
      <c r="F1596" s="2"/>
    </row>
    <row r="1597" spans="1:6" ht="24.95" customHeight="1" x14ac:dyDescent="0.4">
      <c r="A1597" s="2" t="s">
        <v>1550</v>
      </c>
      <c r="B1597" s="1" t="s">
        <v>1337</v>
      </c>
      <c r="C1597" s="1" t="str">
        <f t="shared" si="36"/>
        <v>安芸郡府中町青崎南2-15</v>
      </c>
      <c r="D1597" s="1" t="s">
        <v>950</v>
      </c>
      <c r="E1597" s="3">
        <v>47087</v>
      </c>
      <c r="F1597" s="2"/>
    </row>
    <row r="1598" spans="1:6" ht="24.95" customHeight="1" x14ac:dyDescent="0.4">
      <c r="A1598" s="2" t="s">
        <v>1551</v>
      </c>
      <c r="B1598" s="1" t="s">
        <v>1337</v>
      </c>
      <c r="C1598" s="1" t="str">
        <f t="shared" si="36"/>
        <v>安芸郡府中町青崎南2-15</v>
      </c>
      <c r="D1598" s="1" t="s">
        <v>531</v>
      </c>
      <c r="E1598" s="3">
        <v>47087</v>
      </c>
      <c r="F1598" s="2"/>
    </row>
    <row r="1599" spans="1:6" ht="24.95" customHeight="1" x14ac:dyDescent="0.4">
      <c r="A1599" s="2" t="s">
        <v>162</v>
      </c>
      <c r="B1599" s="1" t="s">
        <v>1337</v>
      </c>
      <c r="C1599" s="1" t="str">
        <f t="shared" si="36"/>
        <v>安芸郡府中町青崎南2-15</v>
      </c>
      <c r="D1599" s="1" t="s">
        <v>531</v>
      </c>
      <c r="E1599" s="3">
        <v>47087</v>
      </c>
      <c r="F1599" s="2"/>
    </row>
    <row r="1600" spans="1:6" ht="24.95" customHeight="1" x14ac:dyDescent="0.4">
      <c r="A1600" s="2" t="s">
        <v>1717</v>
      </c>
      <c r="B1600" s="1" t="s">
        <v>1337</v>
      </c>
      <c r="C1600" s="1" t="str">
        <f t="shared" si="36"/>
        <v>安芸郡府中町青崎南2-15</v>
      </c>
      <c r="D1600" s="1" t="s">
        <v>344</v>
      </c>
      <c r="E1600" s="3">
        <v>47087</v>
      </c>
      <c r="F1600" s="2"/>
    </row>
    <row r="1601" spans="1:6" ht="24.95" customHeight="1" x14ac:dyDescent="0.4">
      <c r="A1601" s="2" t="s">
        <v>986</v>
      </c>
      <c r="B1601" s="1" t="s">
        <v>1337</v>
      </c>
      <c r="C1601" s="1" t="str">
        <f t="shared" si="36"/>
        <v>安芸郡府中町青崎南2-15</v>
      </c>
      <c r="D1601" s="1" t="s">
        <v>324</v>
      </c>
      <c r="E1601" s="3">
        <v>47087</v>
      </c>
      <c r="F1601" s="2"/>
    </row>
    <row r="1602" spans="1:6" ht="24.95" customHeight="1" x14ac:dyDescent="0.4">
      <c r="A1602" s="2" t="s">
        <v>1858</v>
      </c>
      <c r="B1602" s="1" t="s">
        <v>1337</v>
      </c>
      <c r="C1602" s="1" t="str">
        <f t="shared" si="36"/>
        <v>安芸郡府中町青崎南2-15</v>
      </c>
      <c r="D1602" s="1" t="s">
        <v>122</v>
      </c>
      <c r="E1602" s="3">
        <v>47087</v>
      </c>
      <c r="F1602" s="2"/>
    </row>
    <row r="1603" spans="1:6" ht="24.95" customHeight="1" x14ac:dyDescent="0.4">
      <c r="A1603" s="2" t="s">
        <v>1706</v>
      </c>
      <c r="B1603" s="1" t="s">
        <v>1337</v>
      </c>
      <c r="C1603" s="1" t="str">
        <f t="shared" si="36"/>
        <v>安芸郡府中町青崎南2-15</v>
      </c>
      <c r="D1603" s="1" t="s">
        <v>576</v>
      </c>
      <c r="E1603" s="3">
        <v>47087</v>
      </c>
      <c r="F1603" s="2"/>
    </row>
    <row r="1604" spans="1:6" ht="24.95" customHeight="1" x14ac:dyDescent="0.4">
      <c r="A1604" s="2" t="s">
        <v>1348</v>
      </c>
      <c r="B1604" s="1" t="s">
        <v>1337</v>
      </c>
      <c r="C1604" s="1" t="str">
        <f t="shared" si="36"/>
        <v>安芸郡府中町青崎南2-15</v>
      </c>
      <c r="D1604" s="1" t="s">
        <v>531</v>
      </c>
      <c r="E1604" s="3">
        <v>47087</v>
      </c>
      <c r="F1604" s="2"/>
    </row>
    <row r="1605" spans="1:6" ht="24.95" customHeight="1" x14ac:dyDescent="0.4">
      <c r="A1605" s="2" t="s">
        <v>1885</v>
      </c>
      <c r="B1605" s="1" t="s">
        <v>1337</v>
      </c>
      <c r="C1605" s="1" t="str">
        <f t="shared" si="36"/>
        <v>安芸郡府中町青崎南2-15</v>
      </c>
      <c r="D1605" s="1" t="s">
        <v>240</v>
      </c>
      <c r="E1605" s="3">
        <v>47087</v>
      </c>
      <c r="F1605" s="2"/>
    </row>
    <row r="1606" spans="1:6" ht="24.95" customHeight="1" x14ac:dyDescent="0.4">
      <c r="A1606" s="2" t="s">
        <v>2162</v>
      </c>
      <c r="B1606" s="1" t="s">
        <v>1337</v>
      </c>
      <c r="C1606" s="1" t="str">
        <f t="shared" si="36"/>
        <v>安芸郡府中町青崎南2-15</v>
      </c>
      <c r="D1606" s="1" t="s">
        <v>240</v>
      </c>
      <c r="E1606" s="3">
        <v>47087</v>
      </c>
      <c r="F1606" s="2"/>
    </row>
    <row r="1607" spans="1:6" ht="24.95" customHeight="1" x14ac:dyDescent="0.4">
      <c r="A1607" s="2" t="s">
        <v>2187</v>
      </c>
      <c r="B1607" s="1" t="s">
        <v>1337</v>
      </c>
      <c r="C1607" s="1" t="str">
        <f t="shared" si="36"/>
        <v>安芸郡府中町青崎南2-15</v>
      </c>
      <c r="D1607" s="1" t="s">
        <v>576</v>
      </c>
      <c r="E1607" s="3">
        <v>45991</v>
      </c>
      <c r="F1607" s="2"/>
    </row>
    <row r="1608" spans="1:6" ht="24.95" customHeight="1" x14ac:dyDescent="0.4">
      <c r="A1608" s="2" t="s">
        <v>2292</v>
      </c>
      <c r="B1608" s="1" t="s">
        <v>1337</v>
      </c>
      <c r="C1608" s="1" t="str">
        <f t="shared" si="36"/>
        <v>安芸郡府中町青崎南2-15</v>
      </c>
      <c r="D1608" s="1" t="s">
        <v>324</v>
      </c>
      <c r="E1608" s="3">
        <v>46721</v>
      </c>
      <c r="F1608" s="2"/>
    </row>
    <row r="1609" spans="1:6" ht="24.95" customHeight="1" x14ac:dyDescent="0.4">
      <c r="A1609" s="2" t="s">
        <v>2381</v>
      </c>
      <c r="B1609" s="1" t="s">
        <v>1337</v>
      </c>
      <c r="C1609" s="1" t="str">
        <f t="shared" si="36"/>
        <v>安芸郡府中町青崎南2-15</v>
      </c>
      <c r="D1609" s="1" t="s">
        <v>88</v>
      </c>
      <c r="E1609" s="3">
        <v>45626</v>
      </c>
      <c r="F1609" s="2"/>
    </row>
    <row r="1610" spans="1:6" ht="24.95" customHeight="1" x14ac:dyDescent="0.4">
      <c r="A1610" s="2" t="s">
        <v>492</v>
      </c>
      <c r="B1610" s="1" t="s">
        <v>1337</v>
      </c>
      <c r="C1610" s="1" t="str">
        <f t="shared" si="36"/>
        <v>安芸郡府中町青崎南2-15</v>
      </c>
      <c r="D1610" s="1" t="s">
        <v>240</v>
      </c>
      <c r="E1610" s="3">
        <v>46356</v>
      </c>
      <c r="F1610" s="2"/>
    </row>
    <row r="1611" spans="1:6" ht="24.95" customHeight="1" x14ac:dyDescent="0.4">
      <c r="A1611" s="2" t="s">
        <v>2451</v>
      </c>
      <c r="B1611" s="1" t="s">
        <v>1337</v>
      </c>
      <c r="C1611" s="1" t="str">
        <f t="shared" si="36"/>
        <v>安芸郡府中町青崎南2-15</v>
      </c>
      <c r="D1611" s="1" t="s">
        <v>30</v>
      </c>
      <c r="E1611" s="3">
        <v>46356</v>
      </c>
      <c r="F1611" s="2"/>
    </row>
    <row r="1612" spans="1:6" ht="24.95" customHeight="1" x14ac:dyDescent="0.4">
      <c r="A1612" s="2" t="s">
        <v>2468</v>
      </c>
      <c r="B1612" s="1" t="s">
        <v>1337</v>
      </c>
      <c r="C1612" s="1" t="str">
        <f t="shared" si="36"/>
        <v>安芸郡府中町青崎南2-15</v>
      </c>
      <c r="D1612" s="1" t="s">
        <v>104</v>
      </c>
      <c r="E1612" s="3">
        <v>46721</v>
      </c>
      <c r="F1612" s="2"/>
    </row>
    <row r="1613" spans="1:6" ht="24.95" customHeight="1" x14ac:dyDescent="0.4">
      <c r="A1613" s="2" t="s">
        <v>998</v>
      </c>
      <c r="B1613" s="1" t="s">
        <v>1337</v>
      </c>
      <c r="C1613" s="1" t="str">
        <f t="shared" si="36"/>
        <v>安芸郡府中町青崎南2-15</v>
      </c>
      <c r="D1613" s="1" t="s">
        <v>950</v>
      </c>
      <c r="E1613" s="3">
        <v>47087</v>
      </c>
      <c r="F1613" s="2"/>
    </row>
    <row r="1614" spans="1:6" ht="24.95" customHeight="1" x14ac:dyDescent="0.4">
      <c r="A1614" s="2" t="s">
        <v>2742</v>
      </c>
      <c r="B1614" s="1" t="s">
        <v>1337</v>
      </c>
      <c r="C1614" s="1" t="str">
        <f t="shared" si="36"/>
        <v>安芸郡府中町青崎南2-15</v>
      </c>
      <c r="D1614" s="1" t="s">
        <v>950</v>
      </c>
      <c r="E1614" s="3">
        <v>45626</v>
      </c>
      <c r="F1614" s="2"/>
    </row>
    <row r="1615" spans="1:6" ht="24.95" customHeight="1" x14ac:dyDescent="0.4">
      <c r="A1615" s="2" t="s">
        <v>2746</v>
      </c>
      <c r="B1615" s="1" t="s">
        <v>1337</v>
      </c>
      <c r="C1615" s="1" t="str">
        <f t="shared" si="36"/>
        <v>安芸郡府中町青崎南2-15</v>
      </c>
      <c r="D1615" s="1" t="s">
        <v>139</v>
      </c>
      <c r="E1615" s="3">
        <v>45991</v>
      </c>
      <c r="F1615" s="2"/>
    </row>
    <row r="1616" spans="1:6" ht="24.95" customHeight="1" x14ac:dyDescent="0.4">
      <c r="A1616" s="2" t="s">
        <v>2757</v>
      </c>
      <c r="B1616" s="1" t="s">
        <v>1337</v>
      </c>
      <c r="C1616" s="1" t="str">
        <f t="shared" si="36"/>
        <v>安芸郡府中町青崎南2-15</v>
      </c>
      <c r="D1616" s="1" t="s">
        <v>67</v>
      </c>
      <c r="E1616" s="3">
        <v>46356</v>
      </c>
      <c r="F1616" s="2"/>
    </row>
    <row r="1617" spans="1:6" ht="24.95" customHeight="1" x14ac:dyDescent="0.4">
      <c r="A1617" s="2" t="s">
        <v>2758</v>
      </c>
      <c r="B1617" s="1" t="s">
        <v>1337</v>
      </c>
      <c r="C1617" s="1" t="str">
        <f t="shared" si="36"/>
        <v>安芸郡府中町青崎南2-15</v>
      </c>
      <c r="D1617" s="1" t="s">
        <v>240</v>
      </c>
      <c r="E1617" s="3">
        <v>46356</v>
      </c>
      <c r="F1617" s="2"/>
    </row>
    <row r="1618" spans="1:6" ht="24.95" customHeight="1" x14ac:dyDescent="0.4">
      <c r="A1618" s="2" t="s">
        <v>672</v>
      </c>
      <c r="B1618" s="1" t="s">
        <v>265</v>
      </c>
      <c r="C1618" s="1" t="str">
        <f>"安芸郡府中町大須1-16-2"</f>
        <v>安芸郡府中町大須1-16-2</v>
      </c>
      <c r="D1618" s="1" t="s">
        <v>139</v>
      </c>
      <c r="E1618" s="3">
        <v>47087</v>
      </c>
      <c r="F1618" s="2"/>
    </row>
    <row r="1619" spans="1:6" ht="24.95" customHeight="1" x14ac:dyDescent="0.4">
      <c r="A1619" s="2" t="s">
        <v>268</v>
      </c>
      <c r="B1619" s="1" t="s">
        <v>272</v>
      </c>
      <c r="C1619" s="1" t="str">
        <f>"安芸郡府中町大須1-17-22"</f>
        <v>安芸郡府中町大須1-17-22</v>
      </c>
      <c r="D1619" s="1" t="s">
        <v>105</v>
      </c>
      <c r="E1619" s="3">
        <v>47087</v>
      </c>
      <c r="F1619" s="2"/>
    </row>
    <row r="1620" spans="1:6" ht="24.95" customHeight="1" x14ac:dyDescent="0.4">
      <c r="A1620" s="2" t="s">
        <v>1828</v>
      </c>
      <c r="B1620" s="1" t="s">
        <v>2105</v>
      </c>
      <c r="C1620" s="1" t="str">
        <f>"安芸郡府中町大須1-19-19"</f>
        <v>安芸郡府中町大須1-19-19</v>
      </c>
      <c r="D1620" s="1" t="s">
        <v>30</v>
      </c>
      <c r="E1620" s="3">
        <v>47087</v>
      </c>
      <c r="F1620" s="2"/>
    </row>
    <row r="1621" spans="1:6" ht="24.95" customHeight="1" x14ac:dyDescent="0.4">
      <c r="A1621" s="2" t="s">
        <v>135</v>
      </c>
      <c r="B1621" s="1" t="s">
        <v>180</v>
      </c>
      <c r="C1621" s="1" t="str">
        <f>"安芸郡府中町大須2-1-1-2015"</f>
        <v>安芸郡府中町大須2-1-1-2015</v>
      </c>
      <c r="D1621" s="1" t="s">
        <v>139</v>
      </c>
      <c r="E1621" s="3">
        <v>47087</v>
      </c>
      <c r="F1621" s="2"/>
    </row>
    <row r="1622" spans="1:6" ht="24.95" customHeight="1" x14ac:dyDescent="0.4">
      <c r="A1622" s="2" t="s">
        <v>633</v>
      </c>
      <c r="B1622" s="1" t="s">
        <v>2429</v>
      </c>
      <c r="C1622" s="1" t="str">
        <f>"安芸郡府中町大須3-8-56"</f>
        <v>安芸郡府中町大須3-8-56</v>
      </c>
      <c r="D1622" s="1" t="s">
        <v>220</v>
      </c>
      <c r="E1622" s="3">
        <v>45991</v>
      </c>
      <c r="F1622" s="2"/>
    </row>
    <row r="1623" spans="1:6" ht="24.95" customHeight="1" x14ac:dyDescent="0.4">
      <c r="A1623" s="2" t="s">
        <v>976</v>
      </c>
      <c r="B1623" s="1" t="s">
        <v>978</v>
      </c>
      <c r="C1623" s="1" t="str">
        <f>"安芸郡府中町大通2-10-8"</f>
        <v>安芸郡府中町大通2-10-8</v>
      </c>
      <c r="D1623" s="1" t="s">
        <v>186</v>
      </c>
      <c r="E1623" s="3">
        <v>47087</v>
      </c>
      <c r="F1623" s="2"/>
    </row>
    <row r="1624" spans="1:6" ht="24.95" customHeight="1" x14ac:dyDescent="0.4">
      <c r="A1624" s="2" t="s">
        <v>55</v>
      </c>
      <c r="B1624" s="1" t="s">
        <v>541</v>
      </c>
      <c r="C1624" s="1" t="str">
        <f>"安芸郡府中町大通2-8-21-2F"</f>
        <v>安芸郡府中町大通2-8-21-2F</v>
      </c>
      <c r="D1624" s="1" t="s">
        <v>30</v>
      </c>
      <c r="E1624" s="3">
        <v>47087</v>
      </c>
      <c r="F1624" s="2"/>
    </row>
    <row r="1625" spans="1:6" ht="24.95" customHeight="1" x14ac:dyDescent="0.4">
      <c r="A1625" s="2" t="s">
        <v>208</v>
      </c>
      <c r="B1625" s="1" t="s">
        <v>541</v>
      </c>
      <c r="C1625" s="1" t="str">
        <f>"安芸郡府中町大通2-8-21-2F"</f>
        <v>安芸郡府中町大通2-8-21-2F</v>
      </c>
      <c r="D1625" s="1" t="s">
        <v>30</v>
      </c>
      <c r="E1625" s="3">
        <v>47087</v>
      </c>
      <c r="F1625" s="2"/>
    </row>
    <row r="1626" spans="1:6" ht="24.95" customHeight="1" x14ac:dyDescent="0.4">
      <c r="A1626" s="2" t="s">
        <v>2169</v>
      </c>
      <c r="B1626" s="1" t="s">
        <v>541</v>
      </c>
      <c r="C1626" s="1" t="str">
        <f>"安芸郡府中町大通2-8-21-2F"</f>
        <v>安芸郡府中町大通2-8-21-2F</v>
      </c>
      <c r="D1626" s="1" t="s">
        <v>240</v>
      </c>
      <c r="E1626" s="3">
        <v>47087</v>
      </c>
      <c r="F1626" s="2"/>
    </row>
    <row r="1627" spans="1:6" ht="24.95" customHeight="1" x14ac:dyDescent="0.4">
      <c r="A1627" s="2" t="s">
        <v>1666</v>
      </c>
      <c r="B1627" s="1" t="s">
        <v>1668</v>
      </c>
      <c r="C1627" s="1" t="str">
        <f>"安芸郡府中町大通2-8-21-4F"</f>
        <v>安芸郡府中町大通2-8-21-4F</v>
      </c>
      <c r="D1627" s="1" t="s">
        <v>104</v>
      </c>
      <c r="E1627" s="3">
        <v>47087</v>
      </c>
      <c r="F1627" s="2"/>
    </row>
    <row r="1628" spans="1:6" ht="24.95" customHeight="1" x14ac:dyDescent="0.4">
      <c r="A1628" s="2" t="s">
        <v>1325</v>
      </c>
      <c r="B1628" s="1" t="s">
        <v>734</v>
      </c>
      <c r="C1628" s="1" t="str">
        <f>"安芸郡府中町鶴江1-25-20"</f>
        <v>安芸郡府中町鶴江1-25-20</v>
      </c>
      <c r="D1628" s="1" t="s">
        <v>139</v>
      </c>
      <c r="E1628" s="3">
        <v>47087</v>
      </c>
      <c r="F1628" s="2"/>
    </row>
    <row r="1629" spans="1:6" ht="24.95" customHeight="1" x14ac:dyDescent="0.4">
      <c r="A1629" s="2" t="s">
        <v>22</v>
      </c>
      <c r="B1629" s="1" t="s">
        <v>868</v>
      </c>
      <c r="C1629" s="1" t="str">
        <f>"安芸郡府中町桃山1-1-24"</f>
        <v>安芸郡府中町桃山1-1-24</v>
      </c>
      <c r="D1629" s="1" t="s">
        <v>30</v>
      </c>
      <c r="E1629" s="3">
        <v>47087</v>
      </c>
      <c r="F1629" s="2"/>
    </row>
    <row r="1630" spans="1:6" ht="24.95" customHeight="1" x14ac:dyDescent="0.4">
      <c r="A1630" s="2" t="s">
        <v>2685</v>
      </c>
      <c r="B1630" s="1" t="s">
        <v>868</v>
      </c>
      <c r="C1630" s="1" t="str">
        <f>"安芸郡府中町桃山1-1-24"</f>
        <v>安芸郡府中町桃山1-1-24</v>
      </c>
      <c r="D1630" s="1" t="s">
        <v>30</v>
      </c>
      <c r="E1630" s="3">
        <v>47087</v>
      </c>
      <c r="F1630" s="2"/>
    </row>
    <row r="1631" spans="1:6" ht="24.95" customHeight="1" x14ac:dyDescent="0.4">
      <c r="A1631" s="2" t="s">
        <v>1880</v>
      </c>
      <c r="B1631" s="1" t="s">
        <v>1821</v>
      </c>
      <c r="C1631" s="1" t="str">
        <f>"安芸郡府中町桃山1-4-18-2F"</f>
        <v>安芸郡府中町桃山1-4-18-2F</v>
      </c>
      <c r="D1631" s="1" t="s">
        <v>1035</v>
      </c>
      <c r="E1631" s="3">
        <v>46356</v>
      </c>
      <c r="F1631" s="2"/>
    </row>
    <row r="1632" spans="1:6" ht="24.95" customHeight="1" x14ac:dyDescent="0.4">
      <c r="A1632" s="2" t="s">
        <v>2460</v>
      </c>
      <c r="B1632" s="1" t="s">
        <v>2461</v>
      </c>
      <c r="C1632" s="1" t="str">
        <f>"安芸郡府中町桃山1-4-18-3F"</f>
        <v>安芸郡府中町桃山1-4-18-3F</v>
      </c>
      <c r="D1632" s="1" t="s">
        <v>88</v>
      </c>
      <c r="E1632" s="3">
        <v>46356</v>
      </c>
      <c r="F1632" s="2"/>
    </row>
    <row r="1633" spans="1:6" ht="24.95" customHeight="1" x14ac:dyDescent="0.4">
      <c r="A1633" s="2" t="s">
        <v>1050</v>
      </c>
      <c r="B1633" s="1" t="s">
        <v>1051</v>
      </c>
      <c r="C1633" s="1" t="str">
        <f>"安芸郡府中町本町1-4-12"</f>
        <v>安芸郡府中町本町1-4-12</v>
      </c>
      <c r="D1633" s="1" t="s">
        <v>279</v>
      </c>
      <c r="E1633" s="3">
        <v>47087</v>
      </c>
      <c r="F1633" s="2"/>
    </row>
    <row r="1634" spans="1:6" ht="24.95" customHeight="1" x14ac:dyDescent="0.4">
      <c r="A1634" s="2" t="s">
        <v>2127</v>
      </c>
      <c r="B1634" s="1" t="s">
        <v>519</v>
      </c>
      <c r="C1634" s="1" t="str">
        <f>"安芸郡府中町本町2-5-13"</f>
        <v>安芸郡府中町本町2-5-13</v>
      </c>
      <c r="D1634" s="1" t="s">
        <v>794</v>
      </c>
      <c r="E1634" s="3">
        <v>46721</v>
      </c>
      <c r="F1634" s="2"/>
    </row>
    <row r="1635" spans="1:6" ht="24.95" customHeight="1" x14ac:dyDescent="0.4">
      <c r="A1635" s="2" t="s">
        <v>791</v>
      </c>
      <c r="B1635" s="1" t="s">
        <v>861</v>
      </c>
      <c r="C1635" s="1" t="str">
        <f>"安芸郡府中町本町5-1-6"</f>
        <v>安芸郡府中町本町5-1-6</v>
      </c>
      <c r="D1635" s="1" t="s">
        <v>470</v>
      </c>
      <c r="E1635" s="3">
        <v>47087</v>
      </c>
      <c r="F1635" s="2"/>
    </row>
    <row r="1636" spans="1:6" ht="24.95" customHeight="1" x14ac:dyDescent="0.4">
      <c r="A1636" s="2" t="s">
        <v>2315</v>
      </c>
      <c r="B1636" s="1" t="s">
        <v>861</v>
      </c>
      <c r="C1636" s="1" t="str">
        <f>"安芸郡府中町本町5-1-6"</f>
        <v>安芸郡府中町本町5-1-6</v>
      </c>
      <c r="D1636" s="1" t="s">
        <v>470</v>
      </c>
      <c r="E1636" s="3">
        <v>47087</v>
      </c>
      <c r="F1636" s="2"/>
    </row>
    <row r="1637" spans="1:6" ht="24.95" customHeight="1" x14ac:dyDescent="0.4">
      <c r="A1637" s="2" t="s">
        <v>1507</v>
      </c>
      <c r="B1637" s="1" t="s">
        <v>1508</v>
      </c>
      <c r="C1637" s="1" t="str">
        <f>"安芸郡府中町柳ケ丘40-12-2F"</f>
        <v>安芸郡府中町柳ケ丘40-12-2F</v>
      </c>
      <c r="D1637" s="1" t="s">
        <v>1509</v>
      </c>
      <c r="E1637" s="3">
        <v>47087</v>
      </c>
      <c r="F1637" s="2"/>
    </row>
    <row r="1638" spans="1:6" ht="24.95" customHeight="1" x14ac:dyDescent="0.4">
      <c r="A1638" s="2" t="s">
        <v>2037</v>
      </c>
      <c r="B1638" s="1" t="s">
        <v>2038</v>
      </c>
      <c r="C1638" s="1" t="str">
        <f>"安芸郡海田町稲荷町3-34"</f>
        <v>安芸郡海田町稲荷町3-34</v>
      </c>
      <c r="D1638" s="1" t="s">
        <v>531</v>
      </c>
      <c r="E1638" s="3">
        <v>47087</v>
      </c>
      <c r="F1638" s="2"/>
    </row>
    <row r="1639" spans="1:6" ht="24.95" customHeight="1" x14ac:dyDescent="0.4">
      <c r="A1639" s="2" t="s">
        <v>2676</v>
      </c>
      <c r="B1639" s="1" t="s">
        <v>2657</v>
      </c>
      <c r="C1639" s="1" t="str">
        <f>"安芸郡海田町栄町2-42"</f>
        <v>安芸郡海田町栄町2-42</v>
      </c>
      <c r="D1639" s="1" t="s">
        <v>2017</v>
      </c>
      <c r="E1639" s="3">
        <v>47087</v>
      </c>
      <c r="F1639" s="2"/>
    </row>
    <row r="1640" spans="1:6" ht="24.95" customHeight="1" x14ac:dyDescent="0.4">
      <c r="A1640" s="2" t="s">
        <v>1864</v>
      </c>
      <c r="B1640" s="1" t="s">
        <v>578</v>
      </c>
      <c r="C1640" s="1" t="str">
        <f>"安芸郡海田町栄町5-32"</f>
        <v>安芸郡海田町栄町5-32</v>
      </c>
      <c r="D1640" s="1" t="s">
        <v>269</v>
      </c>
      <c r="E1640" s="3">
        <v>47087</v>
      </c>
      <c r="F1640" s="2"/>
    </row>
    <row r="1641" spans="1:6" ht="24.95" customHeight="1" x14ac:dyDescent="0.4">
      <c r="A1641" s="2" t="s">
        <v>389</v>
      </c>
      <c r="B1641" s="1" t="s">
        <v>787</v>
      </c>
      <c r="C1641" s="1" t="str">
        <f>"安芸郡海田町蟹原1-13-11"</f>
        <v>安芸郡海田町蟹原1-13-11</v>
      </c>
      <c r="D1641" s="1" t="s">
        <v>30</v>
      </c>
      <c r="E1641" s="3">
        <v>47087</v>
      </c>
      <c r="F1641" s="2"/>
    </row>
    <row r="1642" spans="1:6" ht="24.95" customHeight="1" x14ac:dyDescent="0.4">
      <c r="A1642" s="2" t="s">
        <v>569</v>
      </c>
      <c r="B1642" s="1" t="s">
        <v>920</v>
      </c>
      <c r="C1642" s="1" t="str">
        <f>"安芸郡海田町窪町10-18"</f>
        <v>安芸郡海田町窪町10-18</v>
      </c>
      <c r="D1642" s="1" t="s">
        <v>139</v>
      </c>
      <c r="E1642" s="3">
        <v>47087</v>
      </c>
      <c r="F1642" s="2"/>
    </row>
    <row r="1643" spans="1:6" ht="24.95" customHeight="1" x14ac:dyDescent="0.4">
      <c r="A1643" s="2" t="s">
        <v>2311</v>
      </c>
      <c r="B1643" s="1" t="s">
        <v>1059</v>
      </c>
      <c r="C1643" s="1" t="str">
        <f>"安芸郡海田町窪町1-23"</f>
        <v>安芸郡海田町窪町1-23</v>
      </c>
      <c r="D1643" s="1" t="s">
        <v>586</v>
      </c>
      <c r="E1643" s="3">
        <v>47087</v>
      </c>
      <c r="F1643" s="2"/>
    </row>
    <row r="1644" spans="1:6" ht="24.95" customHeight="1" x14ac:dyDescent="0.4">
      <c r="A1644" s="2" t="s">
        <v>2361</v>
      </c>
      <c r="B1644" s="1" t="s">
        <v>2362</v>
      </c>
      <c r="C1644" s="1" t="str">
        <f>"安芸郡海田町窪町1-23"</f>
        <v>安芸郡海田町窪町1-23</v>
      </c>
      <c r="D1644" s="1" t="s">
        <v>139</v>
      </c>
      <c r="E1644" s="3">
        <v>45626</v>
      </c>
      <c r="F1644" s="2"/>
    </row>
    <row r="1645" spans="1:6" ht="24.95" customHeight="1" x14ac:dyDescent="0.4">
      <c r="A1645" s="2" t="s">
        <v>720</v>
      </c>
      <c r="B1645" s="1" t="s">
        <v>1215</v>
      </c>
      <c r="C1645" s="1" t="str">
        <f>"安芸郡海田町窪町1-23-2F"</f>
        <v>安芸郡海田町窪町1-23-2F</v>
      </c>
      <c r="D1645" s="1" t="s">
        <v>104</v>
      </c>
      <c r="E1645" s="3">
        <v>45991</v>
      </c>
      <c r="F1645" s="2"/>
    </row>
    <row r="1646" spans="1:6" ht="24.95" customHeight="1" x14ac:dyDescent="0.4">
      <c r="A1646" s="2" t="s">
        <v>635</v>
      </c>
      <c r="B1646" s="1" t="s">
        <v>134</v>
      </c>
      <c r="C1646" s="1" t="str">
        <f>"安芸郡海田町幸町8-14-3"</f>
        <v>安芸郡海田町幸町8-14-3</v>
      </c>
      <c r="D1646" s="1" t="s">
        <v>581</v>
      </c>
      <c r="E1646" s="3">
        <v>47087</v>
      </c>
      <c r="F1646" s="2"/>
    </row>
    <row r="1647" spans="1:6" ht="24.95" customHeight="1" x14ac:dyDescent="0.4">
      <c r="A1647" s="2" t="s">
        <v>1895</v>
      </c>
      <c r="B1647" s="1" t="s">
        <v>2248</v>
      </c>
      <c r="C1647" s="1" t="str">
        <f>"安芸郡海田町幸町9-13"</f>
        <v>安芸郡海田町幸町9-13</v>
      </c>
      <c r="D1647" s="1" t="s">
        <v>324</v>
      </c>
      <c r="E1647" s="3">
        <v>46356</v>
      </c>
      <c r="F1647" s="2"/>
    </row>
    <row r="1648" spans="1:6" ht="24.95" customHeight="1" x14ac:dyDescent="0.4">
      <c r="A1648" s="2" t="s">
        <v>198</v>
      </c>
      <c r="B1648" s="1" t="s">
        <v>118</v>
      </c>
      <c r="C1648" s="1" t="str">
        <f>"安芸郡海田町新町17-8"</f>
        <v>安芸郡海田町新町17-8</v>
      </c>
      <c r="D1648" s="1" t="s">
        <v>324</v>
      </c>
      <c r="E1648" s="3">
        <v>47087</v>
      </c>
      <c r="F1648" s="2"/>
    </row>
    <row r="1649" spans="1:6" ht="24.95" customHeight="1" x14ac:dyDescent="0.4">
      <c r="A1649" s="2" t="s">
        <v>929</v>
      </c>
      <c r="B1649" s="1" t="s">
        <v>1567</v>
      </c>
      <c r="C1649" s="1" t="str">
        <f>"安芸郡海田町成本14-12"</f>
        <v>安芸郡海田町成本14-12</v>
      </c>
      <c r="D1649" s="1" t="s">
        <v>220</v>
      </c>
      <c r="E1649" s="3">
        <v>47087</v>
      </c>
      <c r="F1649" s="2"/>
    </row>
    <row r="1650" spans="1:6" ht="24.95" customHeight="1" x14ac:dyDescent="0.4">
      <c r="A1650" s="2" t="s">
        <v>2046</v>
      </c>
      <c r="B1650" s="1" t="s">
        <v>1053</v>
      </c>
      <c r="C1650" s="1" t="str">
        <f>"安芸郡海田町西浜4-22-4"</f>
        <v>安芸郡海田町西浜4-22-4</v>
      </c>
      <c r="D1650" s="1" t="s">
        <v>139</v>
      </c>
      <c r="E1650" s="3">
        <v>47087</v>
      </c>
      <c r="F1650" s="2"/>
    </row>
    <row r="1651" spans="1:6" ht="24.95" customHeight="1" x14ac:dyDescent="0.4">
      <c r="A1651" s="2" t="s">
        <v>2093</v>
      </c>
      <c r="B1651" s="1" t="s">
        <v>2094</v>
      </c>
      <c r="C1651" s="1" t="str">
        <f>"安芸郡海田町西浜4-22-4"</f>
        <v>安芸郡海田町西浜4-22-4</v>
      </c>
      <c r="D1651" s="1" t="s">
        <v>88</v>
      </c>
      <c r="E1651" s="3">
        <v>47087</v>
      </c>
      <c r="F1651" s="2"/>
    </row>
    <row r="1652" spans="1:6" ht="24.95" customHeight="1" x14ac:dyDescent="0.4">
      <c r="A1652" s="2" t="s">
        <v>1375</v>
      </c>
      <c r="B1652" s="1" t="s">
        <v>1376</v>
      </c>
      <c r="C1652" s="1" t="str">
        <f>"安芸郡海田町南幸町9-43"</f>
        <v>安芸郡海田町南幸町9-43</v>
      </c>
      <c r="D1652" s="1" t="s">
        <v>58</v>
      </c>
      <c r="E1652" s="3">
        <v>47087</v>
      </c>
      <c r="F1652" s="2"/>
    </row>
    <row r="1653" spans="1:6" ht="24.95" customHeight="1" x14ac:dyDescent="0.4">
      <c r="A1653" s="2" t="s">
        <v>1133</v>
      </c>
      <c r="B1653" s="1" t="s">
        <v>1376</v>
      </c>
      <c r="C1653" s="1" t="str">
        <f>"安芸郡海田町南幸町9-43"</f>
        <v>安芸郡海田町南幸町9-43</v>
      </c>
      <c r="D1653" s="1" t="s">
        <v>58</v>
      </c>
      <c r="E1653" s="3">
        <v>47087</v>
      </c>
      <c r="F1653" s="2"/>
    </row>
    <row r="1654" spans="1:6" ht="24.95" customHeight="1" x14ac:dyDescent="0.4">
      <c r="A1654" s="2" t="s">
        <v>1442</v>
      </c>
      <c r="B1654" s="1" t="s">
        <v>1376</v>
      </c>
      <c r="C1654" s="1" t="str">
        <f>"安芸郡海田町南幸町9-43"</f>
        <v>安芸郡海田町南幸町9-43</v>
      </c>
      <c r="D1654" s="1" t="s">
        <v>1586</v>
      </c>
      <c r="E1654" s="3">
        <v>47087</v>
      </c>
      <c r="F1654" s="2"/>
    </row>
    <row r="1655" spans="1:6" ht="24.95" customHeight="1" x14ac:dyDescent="0.4">
      <c r="A1655" s="2" t="s">
        <v>703</v>
      </c>
      <c r="B1655" s="1" t="s">
        <v>1084</v>
      </c>
      <c r="C1655" s="1" t="str">
        <f>"安芸郡海田町南大正町3-25"</f>
        <v>安芸郡海田町南大正町3-25</v>
      </c>
      <c r="D1655" s="1" t="s">
        <v>30</v>
      </c>
      <c r="E1655" s="3">
        <v>47087</v>
      </c>
      <c r="F1655" s="2"/>
    </row>
    <row r="1656" spans="1:6" ht="24.95" customHeight="1" x14ac:dyDescent="0.4">
      <c r="A1656" s="2" t="s">
        <v>1710</v>
      </c>
      <c r="B1656" s="1" t="s">
        <v>1711</v>
      </c>
      <c r="C1656" s="1" t="str">
        <f>"安芸郡海田町日の出町6-6"</f>
        <v>安芸郡海田町日の出町6-6</v>
      </c>
      <c r="D1656" s="1" t="s">
        <v>104</v>
      </c>
      <c r="E1656" s="3">
        <v>47087</v>
      </c>
      <c r="F1656" s="2"/>
    </row>
    <row r="1657" spans="1:6" ht="24.95" customHeight="1" x14ac:dyDescent="0.4">
      <c r="A1657" s="2" t="s">
        <v>761</v>
      </c>
      <c r="B1657" s="1" t="s">
        <v>647</v>
      </c>
      <c r="C1657" s="1" t="str">
        <f>"安芸郡海田町堀川町2-23"</f>
        <v>安芸郡海田町堀川町2-23</v>
      </c>
      <c r="D1657" s="1" t="s">
        <v>324</v>
      </c>
      <c r="E1657" s="3">
        <v>47087</v>
      </c>
      <c r="F1657" s="2"/>
    </row>
    <row r="1658" spans="1:6" ht="24.95" customHeight="1" x14ac:dyDescent="0.4">
      <c r="A1658" s="2" t="s">
        <v>944</v>
      </c>
      <c r="B1658" s="1" t="s">
        <v>572</v>
      </c>
      <c r="C1658" s="1" t="str">
        <f>"安芸郡熊野町出来庭10-4-4"</f>
        <v>安芸郡熊野町出来庭10-4-4</v>
      </c>
      <c r="D1658" s="1" t="s">
        <v>67</v>
      </c>
      <c r="E1658" s="3">
        <v>47087</v>
      </c>
      <c r="F1658" s="2"/>
    </row>
    <row r="1659" spans="1:6" ht="24.95" customHeight="1" x14ac:dyDescent="0.4">
      <c r="A1659" s="2" t="s">
        <v>1068</v>
      </c>
      <c r="B1659" s="1" t="s">
        <v>1543</v>
      </c>
      <c r="C1659" s="1" t="str">
        <f>"安芸郡熊野町出来庭3-3-33"</f>
        <v>安芸郡熊野町出来庭3-3-33</v>
      </c>
      <c r="D1659" s="1" t="s">
        <v>139</v>
      </c>
      <c r="E1659" s="3">
        <v>47087</v>
      </c>
      <c r="F1659" s="2"/>
    </row>
    <row r="1660" spans="1:6" ht="24.95" customHeight="1" x14ac:dyDescent="0.4">
      <c r="A1660" s="2" t="s">
        <v>26</v>
      </c>
      <c r="B1660" s="1" t="s">
        <v>229</v>
      </c>
      <c r="C1660" s="1" t="str">
        <f>"安芸郡熊野町川角4-30-1"</f>
        <v>安芸郡熊野町川角4-30-1</v>
      </c>
      <c r="D1660" s="1" t="s">
        <v>43</v>
      </c>
      <c r="E1660" s="3">
        <v>47087</v>
      </c>
      <c r="F1660" s="2"/>
    </row>
    <row r="1661" spans="1:6" ht="24.95" customHeight="1" x14ac:dyDescent="0.4">
      <c r="A1661" s="2" t="s">
        <v>552</v>
      </c>
      <c r="B1661" s="1" t="s">
        <v>554</v>
      </c>
      <c r="C1661" s="1" t="str">
        <f>"安芸郡熊野町萩原2-2-12"</f>
        <v>安芸郡熊野町萩原2-2-12</v>
      </c>
      <c r="D1661" s="1" t="s">
        <v>139</v>
      </c>
      <c r="E1661" s="3">
        <v>47087</v>
      </c>
      <c r="F1661" s="2"/>
    </row>
    <row r="1662" spans="1:6" ht="24.95" customHeight="1" x14ac:dyDescent="0.4">
      <c r="A1662" s="2" t="s">
        <v>397</v>
      </c>
      <c r="B1662" s="1" t="s">
        <v>554</v>
      </c>
      <c r="C1662" s="1" t="str">
        <f>"安芸郡熊野町萩原2-2-12"</f>
        <v>安芸郡熊野町萩原2-2-12</v>
      </c>
      <c r="D1662" s="1" t="s">
        <v>139</v>
      </c>
      <c r="E1662" s="3">
        <v>47087</v>
      </c>
      <c r="F1662" s="2"/>
    </row>
    <row r="1663" spans="1:6" ht="24.95" customHeight="1" x14ac:dyDescent="0.4">
      <c r="A1663" s="2" t="s">
        <v>846</v>
      </c>
      <c r="B1663" s="1" t="s">
        <v>210</v>
      </c>
      <c r="C1663" s="1" t="str">
        <f>"安芸郡熊野町萩原2-2-8"</f>
        <v>安芸郡熊野町萩原2-2-8</v>
      </c>
      <c r="D1663" s="1" t="s">
        <v>88</v>
      </c>
      <c r="E1663" s="3">
        <v>47087</v>
      </c>
      <c r="F1663" s="2"/>
    </row>
    <row r="1664" spans="1:6" ht="24.95" customHeight="1" x14ac:dyDescent="0.4">
      <c r="A1664" s="2" t="s">
        <v>8</v>
      </c>
      <c r="B1664" s="1" t="s">
        <v>210</v>
      </c>
      <c r="C1664" s="1" t="str">
        <f>"安芸郡熊野町萩原2-2-8"</f>
        <v>安芸郡熊野町萩原2-2-8</v>
      </c>
      <c r="D1664" s="1" t="s">
        <v>67</v>
      </c>
      <c r="E1664" s="3">
        <v>47087</v>
      </c>
      <c r="F1664" s="2"/>
    </row>
    <row r="1665" spans="1:6" ht="24.95" customHeight="1" x14ac:dyDescent="0.4">
      <c r="A1665" s="2" t="s">
        <v>669</v>
      </c>
      <c r="B1665" s="1" t="s">
        <v>2156</v>
      </c>
      <c r="C1665" s="1" t="str">
        <f>"安芸郡熊野町萩原5-1-55"</f>
        <v>安芸郡熊野町萩原5-1-55</v>
      </c>
      <c r="D1665" s="1" t="s">
        <v>2674</v>
      </c>
      <c r="E1665" s="3">
        <v>45991</v>
      </c>
      <c r="F1665" s="2"/>
    </row>
    <row r="1666" spans="1:6" ht="24.95" customHeight="1" x14ac:dyDescent="0.4">
      <c r="A1666" s="2" t="s">
        <v>1631</v>
      </c>
      <c r="B1666" s="1" t="s">
        <v>1865</v>
      </c>
      <c r="C1666" s="1" t="str">
        <f>"安芸郡坂町坂西1-4-10"</f>
        <v>安芸郡坂町坂西1-4-10</v>
      </c>
      <c r="D1666" s="1" t="s">
        <v>30</v>
      </c>
      <c r="E1666" s="3">
        <v>47087</v>
      </c>
      <c r="F1666" s="2"/>
    </row>
    <row r="1667" spans="1:6" ht="24.95" customHeight="1" x14ac:dyDescent="0.4">
      <c r="A1667" s="2" t="s">
        <v>142</v>
      </c>
      <c r="B1667" s="1" t="s">
        <v>526</v>
      </c>
      <c r="C1667" s="1" t="str">
        <f>"安芸郡坂町平成ケ浜1-8-33"</f>
        <v>安芸郡坂町平成ケ浜1-8-33</v>
      </c>
      <c r="D1667" s="1" t="s">
        <v>324</v>
      </c>
      <c r="E1667" s="3">
        <v>47087</v>
      </c>
      <c r="F1667" s="2"/>
    </row>
    <row r="1668" spans="1:6" ht="24.95" customHeight="1" x14ac:dyDescent="0.4">
      <c r="A1668" s="2" t="s">
        <v>1446</v>
      </c>
      <c r="B1668" s="1" t="s">
        <v>1447</v>
      </c>
      <c r="C1668" s="1" t="str">
        <f t="shared" ref="C1668:C1683" si="37">"安芸郡坂町北新地2-3-10"</f>
        <v>安芸郡坂町北新地2-3-10</v>
      </c>
      <c r="D1668" s="1" t="s">
        <v>179</v>
      </c>
      <c r="E1668" s="3">
        <v>47087</v>
      </c>
      <c r="F1668" s="2"/>
    </row>
    <row r="1669" spans="1:6" ht="24.95" customHeight="1" x14ac:dyDescent="0.4">
      <c r="A1669" s="2" t="s">
        <v>284</v>
      </c>
      <c r="B1669" s="1" t="s">
        <v>1447</v>
      </c>
      <c r="C1669" s="1" t="str">
        <f t="shared" si="37"/>
        <v>安芸郡坂町北新地2-3-10</v>
      </c>
      <c r="D1669" s="1" t="s">
        <v>30</v>
      </c>
      <c r="E1669" s="3">
        <v>47087</v>
      </c>
      <c r="F1669" s="2"/>
    </row>
    <row r="1670" spans="1:6" ht="24.95" customHeight="1" x14ac:dyDescent="0.4">
      <c r="A1670" s="2" t="s">
        <v>570</v>
      </c>
      <c r="B1670" s="1" t="s">
        <v>1447</v>
      </c>
      <c r="C1670" s="1" t="str">
        <f t="shared" si="37"/>
        <v>安芸郡坂町北新地2-3-10</v>
      </c>
      <c r="D1670" s="1" t="s">
        <v>30</v>
      </c>
      <c r="E1670" s="3">
        <v>47087</v>
      </c>
      <c r="F1670" s="2"/>
    </row>
    <row r="1671" spans="1:6" ht="24.95" customHeight="1" x14ac:dyDescent="0.4">
      <c r="A1671" s="2" t="s">
        <v>1132</v>
      </c>
      <c r="B1671" s="1" t="s">
        <v>1447</v>
      </c>
      <c r="C1671" s="1" t="str">
        <f t="shared" si="37"/>
        <v>安芸郡坂町北新地2-3-10</v>
      </c>
      <c r="D1671" s="1" t="s">
        <v>30</v>
      </c>
      <c r="E1671" s="3">
        <v>47087</v>
      </c>
      <c r="F1671" s="2"/>
    </row>
    <row r="1672" spans="1:6" ht="24.95" customHeight="1" x14ac:dyDescent="0.4">
      <c r="A1672" s="2" t="s">
        <v>555</v>
      </c>
      <c r="B1672" s="1" t="s">
        <v>1447</v>
      </c>
      <c r="C1672" s="1" t="str">
        <f t="shared" si="37"/>
        <v>安芸郡坂町北新地2-3-10</v>
      </c>
      <c r="D1672" s="1" t="s">
        <v>30</v>
      </c>
      <c r="E1672" s="3">
        <v>47087</v>
      </c>
      <c r="F1672" s="2"/>
    </row>
    <row r="1673" spans="1:6" ht="24.95" customHeight="1" x14ac:dyDescent="0.4">
      <c r="A1673" s="2" t="s">
        <v>302</v>
      </c>
      <c r="B1673" s="1" t="s">
        <v>1447</v>
      </c>
      <c r="C1673" s="1" t="str">
        <f t="shared" si="37"/>
        <v>安芸郡坂町北新地2-3-10</v>
      </c>
      <c r="D1673" s="1" t="s">
        <v>531</v>
      </c>
      <c r="E1673" s="3">
        <v>47087</v>
      </c>
      <c r="F1673" s="2"/>
    </row>
    <row r="1674" spans="1:6" ht="24.95" customHeight="1" x14ac:dyDescent="0.4">
      <c r="A1674" s="2" t="s">
        <v>613</v>
      </c>
      <c r="B1674" s="1" t="s">
        <v>1447</v>
      </c>
      <c r="C1674" s="1" t="str">
        <f t="shared" si="37"/>
        <v>安芸郡坂町北新地2-3-10</v>
      </c>
      <c r="D1674" s="1" t="s">
        <v>30</v>
      </c>
      <c r="E1674" s="3">
        <v>47087</v>
      </c>
      <c r="F1674" s="2"/>
    </row>
    <row r="1675" spans="1:6" ht="24.95" customHeight="1" x14ac:dyDescent="0.4">
      <c r="A1675" s="2" t="s">
        <v>1562</v>
      </c>
      <c r="B1675" s="1" t="s">
        <v>1447</v>
      </c>
      <c r="C1675" s="1" t="str">
        <f t="shared" si="37"/>
        <v>安芸郡坂町北新地2-3-10</v>
      </c>
      <c r="D1675" s="1" t="s">
        <v>179</v>
      </c>
      <c r="E1675" s="3">
        <v>47087</v>
      </c>
      <c r="F1675" s="2"/>
    </row>
    <row r="1676" spans="1:6" ht="24.95" customHeight="1" x14ac:dyDescent="0.4">
      <c r="A1676" s="2" t="s">
        <v>1873</v>
      </c>
      <c r="B1676" s="1" t="s">
        <v>1447</v>
      </c>
      <c r="C1676" s="1" t="str">
        <f t="shared" si="37"/>
        <v>安芸郡坂町北新地2-3-10</v>
      </c>
      <c r="D1676" s="1" t="s">
        <v>324</v>
      </c>
      <c r="E1676" s="3">
        <v>47087</v>
      </c>
      <c r="F1676" s="2"/>
    </row>
    <row r="1677" spans="1:6" ht="24.95" customHeight="1" x14ac:dyDescent="0.4">
      <c r="A1677" s="2" t="s">
        <v>1940</v>
      </c>
      <c r="B1677" s="1" t="s">
        <v>1447</v>
      </c>
      <c r="C1677" s="1" t="str">
        <f t="shared" si="37"/>
        <v>安芸郡坂町北新地2-3-10</v>
      </c>
      <c r="D1677" s="1" t="s">
        <v>122</v>
      </c>
      <c r="E1677" s="3">
        <v>47087</v>
      </c>
      <c r="F1677" s="2"/>
    </row>
    <row r="1678" spans="1:6" ht="24.95" customHeight="1" x14ac:dyDescent="0.4">
      <c r="A1678" s="2" t="s">
        <v>2165</v>
      </c>
      <c r="B1678" s="1" t="s">
        <v>1447</v>
      </c>
      <c r="C1678" s="1" t="str">
        <f t="shared" si="37"/>
        <v>安芸郡坂町北新地2-3-10</v>
      </c>
      <c r="D1678" s="1" t="s">
        <v>717</v>
      </c>
      <c r="E1678" s="3">
        <v>47087</v>
      </c>
      <c r="F1678" s="2"/>
    </row>
    <row r="1679" spans="1:6" ht="24.95" customHeight="1" x14ac:dyDescent="0.4">
      <c r="A1679" s="2" t="s">
        <v>2360</v>
      </c>
      <c r="B1679" s="1" t="s">
        <v>1447</v>
      </c>
      <c r="C1679" s="1" t="str">
        <f t="shared" si="37"/>
        <v>安芸郡坂町北新地2-3-10</v>
      </c>
      <c r="D1679" s="1" t="s">
        <v>30</v>
      </c>
      <c r="E1679" s="3">
        <v>45626</v>
      </c>
      <c r="F1679" s="2"/>
    </row>
    <row r="1680" spans="1:6" ht="24.95" customHeight="1" x14ac:dyDescent="0.4">
      <c r="A1680" s="2" t="s">
        <v>2383</v>
      </c>
      <c r="B1680" s="1" t="s">
        <v>1447</v>
      </c>
      <c r="C1680" s="1" t="str">
        <f t="shared" si="37"/>
        <v>安芸郡坂町北新地2-3-10</v>
      </c>
      <c r="D1680" s="1" t="s">
        <v>67</v>
      </c>
      <c r="E1680" s="3">
        <v>45626</v>
      </c>
      <c r="F1680" s="2"/>
    </row>
    <row r="1681" spans="1:6" ht="24.95" customHeight="1" x14ac:dyDescent="0.4">
      <c r="A1681" s="2" t="s">
        <v>2406</v>
      </c>
      <c r="B1681" s="1" t="s">
        <v>1447</v>
      </c>
      <c r="C1681" s="1" t="str">
        <f t="shared" si="37"/>
        <v>安芸郡坂町北新地2-3-10</v>
      </c>
      <c r="D1681" s="1" t="s">
        <v>700</v>
      </c>
      <c r="E1681" s="3">
        <v>45991</v>
      </c>
      <c r="F1681" s="2"/>
    </row>
    <row r="1682" spans="1:6" ht="24.95" customHeight="1" x14ac:dyDescent="0.4">
      <c r="A1682" s="2" t="s">
        <v>816</v>
      </c>
      <c r="B1682" s="1" t="s">
        <v>1447</v>
      </c>
      <c r="C1682" s="1" t="str">
        <f t="shared" si="37"/>
        <v>安芸郡坂町北新地2-3-10</v>
      </c>
      <c r="D1682" s="1" t="s">
        <v>700</v>
      </c>
      <c r="E1682" s="3">
        <v>46721</v>
      </c>
      <c r="F1682" s="2"/>
    </row>
    <row r="1683" spans="1:6" ht="24.95" customHeight="1" x14ac:dyDescent="0.4">
      <c r="A1683" s="2" t="s">
        <v>711</v>
      </c>
      <c r="B1683" s="1" t="s">
        <v>1447</v>
      </c>
      <c r="C1683" s="1" t="str">
        <f t="shared" si="37"/>
        <v>安芸郡坂町北新地2-3-10</v>
      </c>
      <c r="D1683" s="1" t="s">
        <v>531</v>
      </c>
      <c r="E1683" s="3">
        <v>46721</v>
      </c>
      <c r="F1683" s="2"/>
    </row>
    <row r="1684" spans="1:6" ht="24.95" customHeight="1" x14ac:dyDescent="0.4">
      <c r="A1684" s="2" t="s">
        <v>1230</v>
      </c>
      <c r="B1684" s="1" t="s">
        <v>1745</v>
      </c>
      <c r="C1684" s="1" t="s">
        <v>1746</v>
      </c>
      <c r="D1684" s="1" t="s">
        <v>531</v>
      </c>
      <c r="E1684" s="3">
        <v>47087</v>
      </c>
      <c r="F1684" s="2"/>
    </row>
    <row r="1685" spans="1:6" ht="24.95" customHeight="1" x14ac:dyDescent="0.4">
      <c r="A1685" s="2" t="s">
        <v>2374</v>
      </c>
      <c r="B1685" s="1" t="s">
        <v>1745</v>
      </c>
      <c r="C1685" s="1" t="s">
        <v>1746</v>
      </c>
      <c r="D1685" s="1" t="s">
        <v>531</v>
      </c>
      <c r="E1685" s="3">
        <v>45626</v>
      </c>
      <c r="F1685" s="2"/>
    </row>
    <row r="1686" spans="1:6" ht="24.95" customHeight="1" x14ac:dyDescent="0.4">
      <c r="A1686" s="2" t="s">
        <v>1490</v>
      </c>
      <c r="B1686" s="1" t="s">
        <v>1745</v>
      </c>
      <c r="C1686" s="1" t="s">
        <v>1746</v>
      </c>
      <c r="D1686" s="1" t="s">
        <v>30</v>
      </c>
      <c r="E1686" s="3">
        <v>46356</v>
      </c>
      <c r="F1686" s="2"/>
    </row>
    <row r="1687" spans="1:6" ht="24.95" customHeight="1" x14ac:dyDescent="0.4">
      <c r="A1687" s="2" t="s">
        <v>1120</v>
      </c>
      <c r="B1687" s="1" t="s">
        <v>1744</v>
      </c>
      <c r="C1687" s="1" t="str">
        <f>"山県郡安芸太田町戸河内800-1"</f>
        <v>山県郡安芸太田町戸河内800-1</v>
      </c>
      <c r="D1687" s="1" t="s">
        <v>30</v>
      </c>
      <c r="E1687" s="3">
        <v>47087</v>
      </c>
      <c r="F1687" s="2"/>
    </row>
    <row r="1688" spans="1:6" ht="24.95" customHeight="1" x14ac:dyDescent="0.4">
      <c r="A1688" s="2" t="s">
        <v>2584</v>
      </c>
      <c r="B1688" s="1" t="s">
        <v>417</v>
      </c>
      <c r="C1688" s="1" t="s">
        <v>2585</v>
      </c>
      <c r="D1688" s="1" t="s">
        <v>30</v>
      </c>
      <c r="E1688" s="3">
        <v>47087</v>
      </c>
      <c r="F1688" s="2"/>
    </row>
    <row r="1689" spans="1:6" ht="24.95" customHeight="1" x14ac:dyDescent="0.4">
      <c r="A1689" s="2" t="s">
        <v>255</v>
      </c>
      <c r="B1689" s="1" t="s">
        <v>967</v>
      </c>
      <c r="C1689" s="1" t="s">
        <v>987</v>
      </c>
      <c r="D1689" s="1" t="s">
        <v>988</v>
      </c>
      <c r="E1689" s="3">
        <v>47087</v>
      </c>
      <c r="F1689" s="2"/>
    </row>
    <row r="1690" spans="1:6" ht="24.95" customHeight="1" x14ac:dyDescent="0.4">
      <c r="A1690" s="2" t="s">
        <v>2178</v>
      </c>
      <c r="B1690" s="1" t="s">
        <v>967</v>
      </c>
      <c r="C1690" s="1" t="s">
        <v>987</v>
      </c>
      <c r="D1690" s="1" t="s">
        <v>988</v>
      </c>
      <c r="E1690" s="3">
        <v>47087</v>
      </c>
      <c r="F1690" s="2"/>
    </row>
    <row r="1691" spans="1:6" ht="24.95" customHeight="1" x14ac:dyDescent="0.4">
      <c r="A1691" s="2" t="s">
        <v>1072</v>
      </c>
      <c r="B1691" s="1" t="s">
        <v>1074</v>
      </c>
      <c r="C1691" s="1" t="str">
        <f>"山県郡北広島町新庄2147-1"</f>
        <v>山県郡北広島町新庄2147-1</v>
      </c>
      <c r="D1691" s="1" t="s">
        <v>122</v>
      </c>
      <c r="E1691" s="3">
        <v>47087</v>
      </c>
      <c r="F1691" s="2"/>
    </row>
    <row r="1692" spans="1:6" ht="24.95" customHeight="1" x14ac:dyDescent="0.4">
      <c r="A1692" s="2" t="s">
        <v>1075</v>
      </c>
      <c r="B1692" s="1" t="s">
        <v>1074</v>
      </c>
      <c r="C1692" s="1" t="str">
        <f>"山県郡北広島町新庄2147-1"</f>
        <v>山県郡北広島町新庄2147-1</v>
      </c>
      <c r="D1692" s="1" t="s">
        <v>30</v>
      </c>
      <c r="E1692" s="3">
        <v>47087</v>
      </c>
      <c r="F1692" s="2"/>
    </row>
    <row r="1693" spans="1:6" ht="24.95" customHeight="1" x14ac:dyDescent="0.4">
      <c r="A1693" s="2" t="s">
        <v>2164</v>
      </c>
      <c r="B1693" s="1" t="s">
        <v>1074</v>
      </c>
      <c r="C1693" s="1" t="str">
        <f>"山県郡北広島町新庄2147-1"</f>
        <v>山県郡北広島町新庄2147-1</v>
      </c>
      <c r="D1693" s="1" t="s">
        <v>324</v>
      </c>
      <c r="E1693" s="3">
        <v>47087</v>
      </c>
      <c r="F1693" s="2"/>
    </row>
    <row r="1694" spans="1:6" ht="24.95" customHeight="1" x14ac:dyDescent="0.4">
      <c r="A1694" s="2" t="s">
        <v>2569</v>
      </c>
      <c r="B1694" s="1" t="s">
        <v>1074</v>
      </c>
      <c r="C1694" s="1" t="str">
        <f>"山県郡北広島町新庄2147-1"</f>
        <v>山県郡北広島町新庄2147-1</v>
      </c>
      <c r="D1694" s="1" t="s">
        <v>30</v>
      </c>
      <c r="E1694" s="3">
        <v>47087</v>
      </c>
      <c r="F1694" s="2"/>
    </row>
    <row r="1695" spans="1:6" ht="24.95" customHeight="1" x14ac:dyDescent="0.4">
      <c r="A1695" s="2" t="s">
        <v>4</v>
      </c>
      <c r="B1695" s="1" t="s">
        <v>2747</v>
      </c>
      <c r="C1695" s="1" t="str">
        <f>"山県郡北広島町壬生144-1"</f>
        <v>山県郡北広島町壬生144-1</v>
      </c>
      <c r="D1695" s="1" t="s">
        <v>30</v>
      </c>
      <c r="E1695" s="3">
        <v>45991</v>
      </c>
      <c r="F1695" s="2"/>
    </row>
    <row r="1696" spans="1:6" ht="24.95" customHeight="1" x14ac:dyDescent="0.4">
      <c r="A1696" s="2" t="s">
        <v>935</v>
      </c>
      <c r="B1696" s="1" t="s">
        <v>1647</v>
      </c>
      <c r="C1696" s="1" t="str">
        <f>"山県郡北広島町壬生433-4"</f>
        <v>山県郡北広島町壬生433-4</v>
      </c>
      <c r="D1696" s="1" t="s">
        <v>794</v>
      </c>
      <c r="E1696" s="3">
        <v>47087</v>
      </c>
      <c r="F1696" s="2"/>
    </row>
    <row r="1697" spans="1:6" ht="24.95" customHeight="1" x14ac:dyDescent="0.4">
      <c r="A1697" s="2" t="s">
        <v>2240</v>
      </c>
      <c r="B1697" s="1" t="s">
        <v>1647</v>
      </c>
      <c r="C1697" s="1" t="str">
        <f>"山県郡北広島町壬生433-4"</f>
        <v>山県郡北広島町壬生433-4</v>
      </c>
      <c r="D1697" s="1" t="s">
        <v>279</v>
      </c>
      <c r="E1697" s="3">
        <v>46356</v>
      </c>
      <c r="F1697" s="2"/>
    </row>
    <row r="1698" spans="1:6" ht="24.95" customHeight="1" x14ac:dyDescent="0.4">
      <c r="A1698" s="2" t="s">
        <v>1018</v>
      </c>
      <c r="B1698" s="1" t="s">
        <v>1647</v>
      </c>
      <c r="C1698" s="1" t="str">
        <f>"山県郡北広島町壬生433-4"</f>
        <v>山県郡北広島町壬生433-4</v>
      </c>
      <c r="D1698" s="1" t="s">
        <v>211</v>
      </c>
      <c r="E1698" s="3">
        <v>47087</v>
      </c>
      <c r="F1698" s="2"/>
    </row>
    <row r="1699" spans="1:6" ht="24.95" customHeight="1" x14ac:dyDescent="0.4">
      <c r="A1699" s="2" t="s">
        <v>1314</v>
      </c>
      <c r="B1699" s="1" t="s">
        <v>190</v>
      </c>
      <c r="C1699" s="1" t="str">
        <f>"山県郡北広島町蔵迫665-1"</f>
        <v>山県郡北広島町蔵迫665-1</v>
      </c>
      <c r="D1699" s="1" t="s">
        <v>139</v>
      </c>
      <c r="E1699" s="3">
        <v>47087</v>
      </c>
      <c r="F1699" s="2"/>
    </row>
    <row r="1700" spans="1:6" ht="24.95" customHeight="1" x14ac:dyDescent="0.4">
      <c r="A1700" s="2" t="s">
        <v>460</v>
      </c>
      <c r="B1700" s="1" t="s">
        <v>1185</v>
      </c>
      <c r="C1700" s="1" t="s">
        <v>1304</v>
      </c>
      <c r="D1700" s="1" t="s">
        <v>2648</v>
      </c>
      <c r="E1700" s="3">
        <v>47087</v>
      </c>
      <c r="F1700" s="2"/>
    </row>
    <row r="1701" spans="1:6" ht="24.95" customHeight="1" x14ac:dyDescent="0.4">
      <c r="A1701" s="2" t="s">
        <v>1041</v>
      </c>
      <c r="B1701" s="1" t="s">
        <v>2730</v>
      </c>
      <c r="C1701" s="1" t="s">
        <v>1292</v>
      </c>
      <c r="D1701" s="1" t="s">
        <v>30</v>
      </c>
      <c r="E1701" s="3">
        <v>46356</v>
      </c>
      <c r="F1701" s="2"/>
    </row>
    <row r="1702" spans="1:6" ht="24.95" customHeight="1" x14ac:dyDescent="0.4">
      <c r="A1702" s="2" t="s">
        <v>483</v>
      </c>
      <c r="B1702" s="1" t="s">
        <v>764</v>
      </c>
      <c r="C1702" s="1" t="s">
        <v>553</v>
      </c>
      <c r="D1702" s="1" t="s">
        <v>279</v>
      </c>
      <c r="E1702" s="3">
        <v>47087</v>
      </c>
      <c r="F1702" s="2"/>
    </row>
    <row r="1703" spans="1:6" ht="24.95" customHeight="1" x14ac:dyDescent="0.4">
      <c r="A1703" s="2" t="s">
        <v>16</v>
      </c>
      <c r="B1703" s="1" t="s">
        <v>919</v>
      </c>
      <c r="C1703" s="1" t="str">
        <f>"世羅郡世羅町寺町1557-2"</f>
        <v>世羅郡世羅町寺町1557-2</v>
      </c>
      <c r="D1703" s="1" t="s">
        <v>86</v>
      </c>
      <c r="E1703" s="3">
        <v>47087</v>
      </c>
      <c r="F1703" s="2"/>
    </row>
    <row r="1704" spans="1:6" ht="24.95" customHeight="1" x14ac:dyDescent="0.4">
      <c r="A1704" s="2" t="s">
        <v>1911</v>
      </c>
      <c r="B1704" s="1" t="s">
        <v>919</v>
      </c>
      <c r="C1704" s="1" t="str">
        <f>"世羅郡世羅町寺町1557-2"</f>
        <v>世羅郡世羅町寺町1557-2</v>
      </c>
      <c r="D1704" s="1" t="s">
        <v>279</v>
      </c>
      <c r="E1704" s="3">
        <v>47087</v>
      </c>
      <c r="F1704" s="2"/>
    </row>
    <row r="1705" spans="1:6" ht="24.95" customHeight="1" x14ac:dyDescent="0.4">
      <c r="A1705" s="2" t="s">
        <v>2675</v>
      </c>
      <c r="B1705" s="1" t="s">
        <v>214</v>
      </c>
      <c r="C1705" s="1" t="str">
        <f>"世羅郡世羅町小国4513-1"</f>
        <v>世羅郡世羅町小国4513-1</v>
      </c>
      <c r="D1705" s="1" t="s">
        <v>192</v>
      </c>
      <c r="E1705" s="3">
        <v>47087</v>
      </c>
      <c r="F1705" s="2"/>
    </row>
    <row r="1706" spans="1:6" ht="24.95" customHeight="1" x14ac:dyDescent="0.4">
      <c r="A1706" s="2" t="s">
        <v>63</v>
      </c>
      <c r="B1706" s="1" t="s">
        <v>1428</v>
      </c>
      <c r="C1706" s="1" t="s">
        <v>2346</v>
      </c>
      <c r="D1706" s="1" t="s">
        <v>139</v>
      </c>
      <c r="E1706" s="3">
        <v>47087</v>
      </c>
      <c r="F1706" s="2"/>
    </row>
    <row r="1707" spans="1:6" ht="24.95" customHeight="1" x14ac:dyDescent="0.4">
      <c r="A1707" s="2" t="s">
        <v>798</v>
      </c>
      <c r="B1707" s="1" t="s">
        <v>1428</v>
      </c>
      <c r="C1707" s="1" t="s">
        <v>2346</v>
      </c>
      <c r="D1707" s="1" t="s">
        <v>139</v>
      </c>
      <c r="E1707" s="3">
        <v>47087</v>
      </c>
      <c r="F1707" s="2"/>
    </row>
    <row r="1708" spans="1:6" ht="24.95" customHeight="1" x14ac:dyDescent="0.4">
      <c r="A1708" s="2" t="s">
        <v>2640</v>
      </c>
      <c r="B1708" s="1" t="s">
        <v>2641</v>
      </c>
      <c r="C1708" s="1" t="str">
        <f>"世羅郡世羅町本郷614-1"</f>
        <v>世羅郡世羅町本郷614-1</v>
      </c>
      <c r="D1708" s="1" t="s">
        <v>30</v>
      </c>
      <c r="E1708" s="3">
        <v>47087</v>
      </c>
      <c r="F1708" s="2"/>
    </row>
    <row r="1709" spans="1:6" ht="24.95" customHeight="1" x14ac:dyDescent="0.4">
      <c r="A1709" s="2" t="s">
        <v>1542</v>
      </c>
      <c r="B1709" s="1" t="s">
        <v>2641</v>
      </c>
      <c r="C1709" s="1" t="str">
        <f>"世羅郡世羅町本郷614-1"</f>
        <v>世羅郡世羅町本郷614-1</v>
      </c>
      <c r="D1709" s="1" t="s">
        <v>30</v>
      </c>
      <c r="E1709" s="3">
        <v>47087</v>
      </c>
      <c r="F1709" s="2"/>
    </row>
    <row r="1710" spans="1:6" ht="24.95" customHeight="1" x14ac:dyDescent="0.4">
      <c r="A1710" s="2" t="s">
        <v>562</v>
      </c>
      <c r="B1710" s="1" t="s">
        <v>1272</v>
      </c>
      <c r="C1710" s="1" t="str">
        <f t="shared" ref="C1710:C1717" si="38">"世羅郡世羅町本郷918-3"</f>
        <v>世羅郡世羅町本郷918-3</v>
      </c>
      <c r="D1710" s="1" t="s">
        <v>531</v>
      </c>
      <c r="E1710" s="3">
        <v>47087</v>
      </c>
      <c r="F1710" s="2"/>
    </row>
    <row r="1711" spans="1:6" ht="24.95" customHeight="1" x14ac:dyDescent="0.4">
      <c r="A1711" s="2" t="s">
        <v>1006</v>
      </c>
      <c r="B1711" s="1" t="s">
        <v>1272</v>
      </c>
      <c r="C1711" s="1" t="str">
        <f t="shared" si="38"/>
        <v>世羅郡世羅町本郷918-3</v>
      </c>
      <c r="D1711" s="1" t="s">
        <v>324</v>
      </c>
      <c r="E1711" s="3">
        <v>47087</v>
      </c>
      <c r="F1711" s="2"/>
    </row>
    <row r="1712" spans="1:6" ht="24.95" customHeight="1" x14ac:dyDescent="0.4">
      <c r="A1712" s="2" t="s">
        <v>1434</v>
      </c>
      <c r="B1712" s="1" t="s">
        <v>1272</v>
      </c>
      <c r="C1712" s="1" t="str">
        <f t="shared" si="38"/>
        <v>世羅郡世羅町本郷918-3</v>
      </c>
      <c r="D1712" s="1" t="s">
        <v>30</v>
      </c>
      <c r="E1712" s="3">
        <v>47087</v>
      </c>
      <c r="F1712" s="2"/>
    </row>
    <row r="1713" spans="1:6" ht="24.95" customHeight="1" x14ac:dyDescent="0.4">
      <c r="A1713" s="2" t="s">
        <v>742</v>
      </c>
      <c r="B1713" s="1" t="s">
        <v>1272</v>
      </c>
      <c r="C1713" s="1" t="str">
        <f t="shared" si="38"/>
        <v>世羅郡世羅町本郷918-3</v>
      </c>
      <c r="D1713" s="1" t="s">
        <v>122</v>
      </c>
      <c r="E1713" s="3">
        <v>47087</v>
      </c>
      <c r="F1713" s="2"/>
    </row>
    <row r="1714" spans="1:6" ht="24.95" customHeight="1" x14ac:dyDescent="0.4">
      <c r="A1714" s="2" t="s">
        <v>1823</v>
      </c>
      <c r="B1714" s="1" t="s">
        <v>1272</v>
      </c>
      <c r="C1714" s="1" t="str">
        <f t="shared" si="38"/>
        <v>世羅郡世羅町本郷918-3</v>
      </c>
      <c r="D1714" s="1" t="s">
        <v>30</v>
      </c>
      <c r="E1714" s="3">
        <v>47087</v>
      </c>
      <c r="F1714" s="2"/>
    </row>
    <row r="1715" spans="1:6" ht="24.95" customHeight="1" x14ac:dyDescent="0.4">
      <c r="A1715" s="2" t="s">
        <v>2427</v>
      </c>
      <c r="B1715" s="1" t="s">
        <v>1272</v>
      </c>
      <c r="C1715" s="1" t="str">
        <f t="shared" si="38"/>
        <v>世羅郡世羅町本郷918-3</v>
      </c>
      <c r="D1715" s="1" t="s">
        <v>324</v>
      </c>
      <c r="E1715" s="3">
        <v>45991</v>
      </c>
      <c r="F1715" s="2"/>
    </row>
    <row r="1716" spans="1:6" ht="24.95" customHeight="1" x14ac:dyDescent="0.4">
      <c r="A1716" s="2" t="s">
        <v>385</v>
      </c>
      <c r="B1716" s="1" t="s">
        <v>1272</v>
      </c>
      <c r="C1716" s="1" t="str">
        <f t="shared" si="38"/>
        <v>世羅郡世羅町本郷918-3</v>
      </c>
      <c r="D1716" s="1" t="s">
        <v>176</v>
      </c>
      <c r="E1716" s="3">
        <v>46721</v>
      </c>
      <c r="F1716" s="2"/>
    </row>
    <row r="1717" spans="1:6" ht="24.95" customHeight="1" x14ac:dyDescent="0.4">
      <c r="A1717" s="2" t="s">
        <v>1515</v>
      </c>
      <c r="B1717" s="1" t="s">
        <v>1272</v>
      </c>
      <c r="C1717" s="1" t="str">
        <f t="shared" si="38"/>
        <v>世羅郡世羅町本郷918-3</v>
      </c>
      <c r="D1717" s="1" t="s">
        <v>30</v>
      </c>
      <c r="E1717" s="3">
        <v>46721</v>
      </c>
      <c r="F1717" s="2"/>
    </row>
    <row r="1718" spans="1:6" ht="24.95" customHeight="1" x14ac:dyDescent="0.4">
      <c r="A1718" s="2" t="s">
        <v>1065</v>
      </c>
      <c r="B1718" s="1" t="s">
        <v>592</v>
      </c>
      <c r="C1718" s="1" t="str">
        <f>"神石郡神石高原町小畠1709-3"</f>
        <v>神石郡神石高原町小畠1709-3</v>
      </c>
      <c r="D1718" s="1" t="s">
        <v>30</v>
      </c>
      <c r="E1718" s="3">
        <v>47087</v>
      </c>
      <c r="F1718" s="2"/>
    </row>
    <row r="1719" spans="1:6" ht="24.95" customHeight="1" x14ac:dyDescent="0.4">
      <c r="A1719" s="2" t="s">
        <v>1640</v>
      </c>
      <c r="B1719" s="1" t="s">
        <v>592</v>
      </c>
      <c r="C1719" s="1" t="str">
        <f>"神石郡神石高原町小畠1709-3"</f>
        <v>神石郡神石高原町小畠1709-3</v>
      </c>
      <c r="D1719" s="1" t="s">
        <v>30</v>
      </c>
      <c r="E1719" s="3">
        <v>47087</v>
      </c>
      <c r="F1719" s="2"/>
    </row>
    <row r="1720" spans="1:6" ht="24.95" customHeight="1" x14ac:dyDescent="0.4">
      <c r="A1720" s="2" t="s">
        <v>2644</v>
      </c>
      <c r="B1720" s="1" t="s">
        <v>592</v>
      </c>
      <c r="C1720" s="1" t="str">
        <f>"神石郡神石高原町小畠1709-3"</f>
        <v>神石郡神石高原町小畠1709-3</v>
      </c>
      <c r="D1720" s="1" t="s">
        <v>30</v>
      </c>
      <c r="E1720" s="3">
        <v>47087</v>
      </c>
      <c r="F1720" s="2"/>
    </row>
    <row r="1721" spans="1:6" ht="24.95" customHeight="1" x14ac:dyDescent="0.4">
      <c r="A1721" s="2" t="s">
        <v>824</v>
      </c>
      <c r="B1721" s="1" t="s">
        <v>592</v>
      </c>
      <c r="C1721" s="1" t="str">
        <f>"神石郡神石高原町小畠1763-2"</f>
        <v>神石郡神石高原町小畠1763-2</v>
      </c>
      <c r="D1721" s="1" t="s">
        <v>30</v>
      </c>
      <c r="E1721" s="3">
        <v>46356</v>
      </c>
      <c r="F1721" s="2"/>
    </row>
    <row r="1722" spans="1:6" ht="24.95" customHeight="1" x14ac:dyDescent="0.4">
      <c r="A1722" s="2" t="s">
        <v>2755</v>
      </c>
      <c r="B1722" s="1" t="s">
        <v>592</v>
      </c>
      <c r="C1722" s="1" t="str">
        <f>"神石郡神石高原町小畠1763-2"</f>
        <v>神石郡神石高原町小畠1763-2</v>
      </c>
      <c r="D1722" s="1" t="s">
        <v>30</v>
      </c>
      <c r="E1722" s="3">
        <v>46356</v>
      </c>
      <c r="F1722" s="2"/>
    </row>
  </sheetData>
  <mergeCells count="1">
    <mergeCell ref="A1:E1"/>
  </mergeCells>
  <phoneticPr fontId="1" type="Hiragana"/>
  <pageMargins left="0.70866141732283472" right="0.70866141732283472" top="0.55118110236220474" bottom="0.35433070866141736" header="0.31496062992125984" footer="0.31496062992125984"/>
  <pageSetup paperSize="9" scale="89" fitToHeight="0" orientation="portrait" r:id="rId1"/>
  <colBreaks count="1" manualBreakCount="1">
    <brk id="5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R6.7.1難病指定医</vt:lpstr>
      <vt:lpstr>R6.7.1難病指定医!Print_Area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美佐緒</dc:creator>
  <cp:lastModifiedBy>森 美佐緒</cp:lastModifiedBy>
  <cp:lastPrinted>2024-06-25T07:37:31Z</cp:lastPrinted>
  <dcterms:created xsi:type="dcterms:W3CDTF">2024-06-25T06:13:47Z</dcterms:created>
  <dcterms:modified xsi:type="dcterms:W3CDTF">2024-06-26T04:31:26Z</dcterms:modified>
</cp:coreProperties>
</file>