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activeTab="1"/>
  </bookViews>
  <sheets>
    <sheet name="貸付申込書" sheetId="6" r:id="rId1"/>
    <sheet name="住宅関連貸付申込書" sheetId="5" r:id="rId2"/>
    <sheet name="借入状況等申告書" sheetId="1" r:id="rId3"/>
    <sheet name="（裏）" sheetId="2" r:id="rId4"/>
    <sheet name="元金均等" sheetId="3" r:id="rId5"/>
    <sheet name="元利金等" sheetId="4" r:id="rId6"/>
  </sheets>
  <definedNames>
    <definedName name="_xlnm.Print_Area" localSheetId="2">借入状況等申告書!$A$1:$AN$47</definedName>
    <definedName name="_xlnm.Print_Area" localSheetId="3">'（裏）'!$A$1:$AQ$52</definedName>
    <definedName name="_xlnm.Print_Area" localSheetId="4">元金均等!$C$2:$L$197</definedName>
    <definedName name="_xlnm.Print_Area" localSheetId="5">元利金等!$B$2:$L$379</definedName>
    <definedName name="_xlnm.Print_Area" localSheetId="1">住宅関連貸付申込書!$B$1:$CC$96</definedName>
    <definedName name="_xlnm.Print_Area" localSheetId="0">貸付申込書!$A$1:$M$51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<sst xmlns="http://schemas.openxmlformats.org/spreadsheetml/2006/main" xmlns:r="http://schemas.openxmlformats.org/officeDocument/2006/relationships" count="231" uniqueCount="231">
  <si>
    <t>「一回当たりの弁済
額」は，元金均等の
　場合は弁済元金額，
　元利均等の場合は
利息を含む弁済額</t>
  </si>
  <si>
    <t>期間
借用</t>
    <rPh sb="0" eb="2">
      <t>キカン</t>
    </rPh>
    <rPh sb="3" eb="5">
      <t>シャクヨウ</t>
    </rPh>
    <phoneticPr fontId="2"/>
  </si>
  <si>
    <t>借入先</t>
    <rPh sb="0" eb="1">
      <t>シャク</t>
    </rPh>
    <rPh sb="1" eb="2">
      <t>イリ</t>
    </rPh>
    <rPh sb="2" eb="3">
      <t>サキ</t>
    </rPh>
    <phoneticPr fontId="2"/>
  </si>
  <si>
    <t>現　　住　　所</t>
    <rPh sb="0" eb="1">
      <t>ゲン</t>
    </rPh>
    <rPh sb="3" eb="4">
      <t>ジュウ</t>
    </rPh>
    <rPh sb="6" eb="7">
      <t>ショ</t>
    </rPh>
    <phoneticPr fontId="2"/>
  </si>
  <si>
    <t>貸付日　　　　令和　　年　　月　　日
貸付満了日　令和　　年　　月　　日</t>
    <rPh sb="0" eb="2">
      <t>カシツケ</t>
    </rPh>
    <rPh sb="2" eb="3">
      <t>ビ</t>
    </rPh>
    <rPh sb="7" eb="9">
      <t>レイワ</t>
    </rPh>
    <rPh sb="11" eb="12">
      <t>ネン</t>
    </rPh>
    <rPh sb="14" eb="15">
      <t>ツキ</t>
    </rPh>
    <rPh sb="17" eb="18">
      <t>ニチ</t>
    </rPh>
    <rPh sb="19" eb="21">
      <t>カシツケ</t>
    </rPh>
    <rPh sb="21" eb="23">
      <t>マンリョウ</t>
    </rPh>
    <rPh sb="23" eb="24">
      <t>ビ</t>
    </rPh>
    <rPh sb="25" eb="27">
      <t>レイワ</t>
    </rPh>
    <rPh sb="29" eb="30">
      <t>ネン</t>
    </rPh>
    <rPh sb="32" eb="33">
      <t>ツキ</t>
    </rPh>
    <rPh sb="35" eb="36">
      <t>ニチ</t>
    </rPh>
    <phoneticPr fontId="2"/>
  </si>
  <si>
    <t xml:space="preserve"> 上記の期間内に据置期間がある借入金については、当該借入金の据置期間終了後の返済年額を記入してください。</t>
    <rPh sb="1" eb="3">
      <t>ジョウキ</t>
    </rPh>
    <rPh sb="4" eb="7">
      <t>キカンナイ</t>
    </rPh>
    <rPh sb="8" eb="10">
      <t>スエオキ</t>
    </rPh>
    <rPh sb="10" eb="12">
      <t>キカン</t>
    </rPh>
    <rPh sb="15" eb="17">
      <t>カリイレ</t>
    </rPh>
    <rPh sb="17" eb="18">
      <t>キン</t>
    </rPh>
    <rPh sb="24" eb="26">
      <t>トウガイ</t>
    </rPh>
    <rPh sb="26" eb="28">
      <t>カリイレ</t>
    </rPh>
    <rPh sb="28" eb="29">
      <t>キン</t>
    </rPh>
    <rPh sb="30" eb="32">
      <t>スエオキ</t>
    </rPh>
    <rPh sb="32" eb="34">
      <t>キカン</t>
    </rPh>
    <rPh sb="34" eb="36">
      <t>シュウリョウ</t>
    </rPh>
    <rPh sb="36" eb="37">
      <t>ゴ</t>
    </rPh>
    <rPh sb="38" eb="40">
      <t>ヘンサイ</t>
    </rPh>
    <rPh sb="40" eb="41">
      <t>ネン</t>
    </rPh>
    <rPh sb="41" eb="42">
      <t>ガク</t>
    </rPh>
    <rPh sb="43" eb="45">
      <t>キニュウ</t>
    </rPh>
    <phoneticPr fontId="2"/>
  </si>
  <si>
    <t>据　置　期　間</t>
    <rPh sb="0" eb="1">
      <t>キョ</t>
    </rPh>
    <rPh sb="2" eb="3">
      <t>チ</t>
    </rPh>
    <rPh sb="4" eb="5">
      <t>キ</t>
    </rPh>
    <rPh sb="6" eb="7">
      <t>アイダ</t>
    </rPh>
    <phoneticPr fontId="2"/>
  </si>
  <si>
    <t>※この算式どおりにならない場合、貸付け申込みを受け付けることはできません。</t>
    <rPh sb="3" eb="5">
      <t>サンシキ</t>
    </rPh>
    <rPh sb="13" eb="15">
      <t>バアイ</t>
    </rPh>
    <rPh sb="16" eb="18">
      <t>カシツケ</t>
    </rPh>
    <rPh sb="19" eb="21">
      <t>モウシコ</t>
    </rPh>
    <rPh sb="23" eb="24">
      <t>ウ</t>
    </rPh>
    <rPh sb="25" eb="26">
      <t>ツ</t>
    </rPh>
    <phoneticPr fontId="2"/>
  </si>
  <si>
    <t>年齢</t>
    <rPh sb="0" eb="2">
      <t>ネンレイ</t>
    </rPh>
    <phoneticPr fontId="2"/>
  </si>
  <si>
    <t>弁　　済　　方　　法</t>
    <rPh sb="0" eb="1">
      <t>ベン</t>
    </rPh>
    <rPh sb="3" eb="4">
      <t>スミ</t>
    </rPh>
    <rPh sb="6" eb="7">
      <t>カタ</t>
    </rPh>
    <rPh sb="9" eb="10">
      <t>ホウ</t>
    </rPh>
    <phoneticPr fontId="2"/>
  </si>
  <si>
    <t>（TEL)</t>
  </si>
  <si>
    <t>　（　　　　　職　　　　　級　　　　　号）
　　　　　　　　　　　　　　　　　　　　　　　円</t>
    <rPh sb="7" eb="8">
      <t>ショク</t>
    </rPh>
    <rPh sb="13" eb="14">
      <t>キュウ</t>
    </rPh>
    <rPh sb="19" eb="20">
      <t>ゴウ</t>
    </rPh>
    <rPh sb="45" eb="46">
      <t>エン</t>
    </rPh>
    <phoneticPr fontId="2"/>
  </si>
  <si>
    <t>氏　　　　　名</t>
    <rPh sb="0" eb="1">
      <t>ウジ</t>
    </rPh>
    <rPh sb="6" eb="7">
      <t>メイ</t>
    </rPh>
    <phoneticPr fontId="2"/>
  </si>
  <si>
    <t>第　　　　　 　　号</t>
  </si>
  <si>
    <t>合　計</t>
    <rPh sb="0" eb="1">
      <t>ゴウ</t>
    </rPh>
    <rPh sb="2" eb="3">
      <t>ケイ</t>
    </rPh>
    <phoneticPr fontId="2"/>
  </si>
  <si>
    <t>受　取　金　融　機　関 （普通預金）</t>
    <rPh sb="0" eb="1">
      <t>ウケ</t>
    </rPh>
    <rPh sb="2" eb="3">
      <t>トリ</t>
    </rPh>
    <rPh sb="4" eb="5">
      <t>キン</t>
    </rPh>
    <rPh sb="6" eb="7">
      <t>トオル</t>
    </rPh>
    <rPh sb="8" eb="9">
      <t>キ</t>
    </rPh>
    <rPh sb="10" eb="11">
      <t>セキ</t>
    </rPh>
    <rPh sb="13" eb="17">
      <t>フツウヨキン</t>
    </rPh>
    <phoneticPr fontId="2"/>
  </si>
  <si>
    <t>（完了予定日）</t>
  </si>
  <si>
    <t>借　　用　　事　　由</t>
    <rPh sb="0" eb="1">
      <t>シャク</t>
    </rPh>
    <rPh sb="3" eb="4">
      <t>ヨウ</t>
    </rPh>
    <rPh sb="6" eb="7">
      <t>コト</t>
    </rPh>
    <rPh sb="9" eb="10">
      <t>ユウ</t>
    </rPh>
    <phoneticPr fontId="2"/>
  </si>
  <si>
    <t>自　己　資　金</t>
  </si>
  <si>
    <t>地方職員共済組合広島県支部長　様</t>
    <rPh sb="0" eb="2">
      <t>チホウ</t>
    </rPh>
    <rPh sb="2" eb="4">
      <t>ショクイン</t>
    </rPh>
    <rPh sb="4" eb="6">
      <t>キョウサイ</t>
    </rPh>
    <rPh sb="6" eb="8">
      <t>クミアイ</t>
    </rPh>
    <rPh sb="8" eb="10">
      <t>ヒロシマ</t>
    </rPh>
    <rPh sb="10" eb="11">
      <t>ケン</t>
    </rPh>
    <rPh sb="11" eb="14">
      <t>シブチョウ</t>
    </rPh>
    <rPh sb="15" eb="16">
      <t>サマ</t>
    </rPh>
    <phoneticPr fontId="2"/>
  </si>
  <si>
    <t>（銀行等名）</t>
    <rPh sb="1" eb="3">
      <t>ギンコウ</t>
    </rPh>
    <rPh sb="3" eb="4">
      <t>トウ</t>
    </rPh>
    <rPh sb="4" eb="5">
      <t>メイ</t>
    </rPh>
    <phoneticPr fontId="2"/>
  </si>
  <si>
    <t>（理由）</t>
    <rPh sb="1" eb="3">
      <t>リユウ</t>
    </rPh>
    <phoneticPr fontId="2"/>
  </si>
  <si>
    <t>至　令和　　　　年　　　　月</t>
  </si>
  <si>
    <t>（支 店 名）</t>
    <rPh sb="1" eb="2">
      <t>シ</t>
    </rPh>
    <rPh sb="3" eb="4">
      <t>ミセ</t>
    </rPh>
    <rPh sb="5" eb="6">
      <t>メイ</t>
    </rPh>
    <phoneticPr fontId="2"/>
  </si>
  <si>
    <t>（口座番号）</t>
    <rPh sb="1" eb="3">
      <t>コウザ</t>
    </rPh>
    <rPh sb="3" eb="5">
      <t>バンゴウ</t>
    </rPh>
    <phoneticPr fontId="2"/>
  </si>
  <si>
    <t>受付</t>
    <rPh sb="0" eb="1">
      <t>ウケ</t>
    </rPh>
    <rPh sb="1" eb="2">
      <t>ツキ</t>
    </rPh>
    <phoneticPr fontId="2"/>
  </si>
  <si>
    <t>承　　　認</t>
    <rPh sb="0" eb="1">
      <t>ショウ</t>
    </rPh>
    <rPh sb="4" eb="5">
      <t>シノブ</t>
    </rPh>
    <phoneticPr fontId="2"/>
  </si>
  <si>
    <t>借　用　事　由
（○で囲む）</t>
    <rPh sb="0" eb="1">
      <t>シャク</t>
    </rPh>
    <rPh sb="2" eb="3">
      <t>ヨウ</t>
    </rPh>
    <rPh sb="4" eb="5">
      <t>コト</t>
    </rPh>
    <rPh sb="6" eb="7">
      <t>ユウ</t>
    </rPh>
    <rPh sb="11" eb="12">
      <t>カコ</t>
    </rPh>
    <phoneticPr fontId="2"/>
  </si>
  <si>
    <t>所　属</t>
    <rPh sb="0" eb="1">
      <t>ショ</t>
    </rPh>
    <rPh sb="2" eb="3">
      <t>ゾク</t>
    </rPh>
    <phoneticPr fontId="2"/>
  </si>
  <si>
    <t>組合員証番号</t>
    <rPh sb="0" eb="1">
      <t>クミ</t>
    </rPh>
    <rPh sb="1" eb="2">
      <t>ア</t>
    </rPh>
    <rPh sb="2" eb="3">
      <t>イン</t>
    </rPh>
    <rPh sb="3" eb="4">
      <t>ショウ</t>
    </rPh>
    <rPh sb="4" eb="5">
      <t>バン</t>
    </rPh>
    <rPh sb="5" eb="6">
      <t>ゴウ</t>
    </rPh>
    <phoneticPr fontId="2"/>
  </si>
  <si>
    <t>別紙様式第４号の２</t>
    <rPh sb="0" eb="2">
      <t>ベッシ</t>
    </rPh>
    <rPh sb="2" eb="4">
      <t>ヨウシキ</t>
    </rPh>
    <rPh sb="4" eb="5">
      <t>ダイ</t>
    </rPh>
    <rPh sb="6" eb="7">
      <t>ゴウ</t>
    </rPh>
    <phoneticPr fontId="2"/>
  </si>
  <si>
    <t>貸付金額　　　　　　　　　　　　　　円</t>
    <rPh sb="0" eb="2">
      <t>カシツ</t>
    </rPh>
    <rPh sb="2" eb="4">
      <t>キンガク</t>
    </rPh>
    <rPh sb="18" eb="19">
      <t>エン</t>
    </rPh>
    <phoneticPr fontId="2"/>
  </si>
  <si>
    <t>　新築　増築　改築　修理　購入
　敷地の取得</t>
    <rPh sb="1" eb="3">
      <t>シンチク</t>
    </rPh>
    <rPh sb="4" eb="6">
      <t>ゾウチク</t>
    </rPh>
    <rPh sb="7" eb="9">
      <t>カイチク</t>
    </rPh>
    <rPh sb="10" eb="12">
      <t>シュウリ</t>
    </rPh>
    <rPh sb="13" eb="15">
      <t>コウニュウ</t>
    </rPh>
    <rPh sb="17" eb="19">
      <t>シキチ</t>
    </rPh>
    <rPh sb="20" eb="22">
      <t>シュトク</t>
    </rPh>
    <phoneticPr fontId="2"/>
  </si>
  <si>
    <t>職名</t>
    <rPh sb="0" eb="2">
      <t>ショクメイ</t>
    </rPh>
    <phoneticPr fontId="2"/>
  </si>
  <si>
    <t>（D)</t>
  </si>
  <si>
    <t>令和　　年　　月　　日</t>
    <rPh sb="0" eb="1">
      <t>レイ</t>
    </rPh>
    <rPh sb="1" eb="2">
      <t>ワ</t>
    </rPh>
    <phoneticPr fontId="2"/>
  </si>
  <si>
    <t xml:space="preserve">    　　　年　　　月　　　日</t>
    <rPh sb="7" eb="8">
      <t>ネン</t>
    </rPh>
    <rPh sb="11" eb="12">
      <t>ガツ</t>
    </rPh>
    <rPh sb="15" eb="16">
      <t>ニチ</t>
    </rPh>
    <phoneticPr fontId="2"/>
  </si>
  <si>
    <t>次の事項について確認・承知のうえ、貸付を申込みます。</t>
    <rPh sb="0" eb="1">
      <t>ツギ</t>
    </rPh>
    <rPh sb="2" eb="4">
      <t>ジコウ</t>
    </rPh>
    <phoneticPr fontId="2"/>
  </si>
  <si>
    <t>氏　　　　　名</t>
  </si>
  <si>
    <t>　 利率(年利，％）</t>
  </si>
  <si>
    <t xml:space="preserve">   　 金　                     　　　円</t>
    <rPh sb="5" eb="6">
      <t>キン</t>
    </rPh>
    <rPh sb="31" eb="32">
      <t>エン</t>
    </rPh>
    <phoneticPr fontId="2"/>
  </si>
  <si>
    <t>●次の①～⑤の部分に借入予定事項を記入すると，下記に弁済表が表示されます。</t>
    <rPh sb="1" eb="2">
      <t>ツギ</t>
    </rPh>
    <rPh sb="7" eb="9">
      <t>ブブン</t>
    </rPh>
    <rPh sb="10" eb="12">
      <t>カリイレ</t>
    </rPh>
    <rPh sb="12" eb="14">
      <t>ヨテイ</t>
    </rPh>
    <rPh sb="14" eb="16">
      <t>ジコウ</t>
    </rPh>
    <rPh sb="17" eb="19">
      <t>キニュウ</t>
    </rPh>
    <rPh sb="23" eb="25">
      <t>カキ</t>
    </rPh>
    <rPh sb="26" eb="28">
      <t>ベンサイ</t>
    </rPh>
    <rPh sb="28" eb="29">
      <t>ヒョウ</t>
    </rPh>
    <rPh sb="30" eb="32">
      <t>ヒョウジ</t>
    </rPh>
    <phoneticPr fontId="2"/>
  </si>
  <si>
    <t>　貸付け申込み時における借入状況等については、次の内容に相違ありません。
　なお、貸付申込みにあたっての留意事項に記載した事項について、貸付申込書に記入された事項に違背した場合においては、地方職員共済組合広島県支部長からの支払催告により貸付金の残額及び利息を即時弁済することについて同意のうえ申告します。</t>
    <rPh sb="74" eb="76">
      <t>キニュウ</t>
    </rPh>
    <rPh sb="102" eb="105">
      <t>ヒロシマケン</t>
    </rPh>
    <phoneticPr fontId="2"/>
  </si>
  <si>
    <t>〒</t>
  </si>
  <si>
    <t>元金弁済の内訳</t>
    <rPh sb="0" eb="2">
      <t>ガンキン</t>
    </rPh>
    <rPh sb="2" eb="4">
      <t>ベンサイ</t>
    </rPh>
    <rPh sb="5" eb="7">
      <t>ウチワケ</t>
    </rPh>
    <phoneticPr fontId="2"/>
  </si>
  <si>
    <t>１回当たり弁済額
（月賦弁済）</t>
    <rPh sb="1" eb="2">
      <t>カイ</t>
    </rPh>
    <rPh sb="2" eb="3">
      <t>ア</t>
    </rPh>
    <rPh sb="5" eb="7">
      <t>ベンサイ</t>
    </rPh>
    <rPh sb="7" eb="8">
      <t>ガク</t>
    </rPh>
    <rPh sb="10" eb="12">
      <t>ゲップ</t>
    </rPh>
    <rPh sb="12" eb="14">
      <t>ベンサイ</t>
    </rPh>
    <phoneticPr fontId="2"/>
  </si>
  <si>
    <t>（申込人氏名）</t>
  </si>
  <si>
    <t>区　分</t>
    <rPh sb="0" eb="1">
      <t>ク</t>
    </rPh>
    <rPh sb="2" eb="3">
      <t>ブン</t>
    </rPh>
    <phoneticPr fontId="2"/>
  </si>
  <si>
    <t>円</t>
    <rPh sb="0" eb="1">
      <t>エン</t>
    </rPh>
    <phoneticPr fontId="2"/>
  </si>
  <si>
    <t>給料からの弁済額</t>
    <rPh sb="0" eb="2">
      <t>キュウリョウ</t>
    </rPh>
    <rPh sb="5" eb="7">
      <t>ベンサイ</t>
    </rPh>
    <rPh sb="7" eb="8">
      <t>ガク</t>
    </rPh>
    <phoneticPr fontId="2"/>
  </si>
  <si>
    <t>自　令和　　　年　　　月</t>
    <rPh sb="0" eb="1">
      <t>ジ</t>
    </rPh>
    <rPh sb="2" eb="4">
      <t>レイワ</t>
    </rPh>
    <rPh sb="7" eb="8">
      <t>ネン</t>
    </rPh>
    <rPh sb="11" eb="12">
      <t>ツキ</t>
    </rPh>
    <phoneticPr fontId="2"/>
  </si>
  <si>
    <t xml:space="preserve">  □普 通   □ 一般災害
　□ 医療  □ 入学  □ 修学　　    貸　付　申　込　書
  □ 結婚  □ 葬祭</t>
    <rPh sb="3" eb="4">
      <t>ススム</t>
    </rPh>
    <rPh sb="5" eb="6">
      <t>ツウ</t>
    </rPh>
    <rPh sb="11" eb="13">
      <t>イッパン</t>
    </rPh>
    <rPh sb="13" eb="15">
      <t>サイガイ</t>
    </rPh>
    <rPh sb="19" eb="21">
      <t>イリョウ</t>
    </rPh>
    <rPh sb="25" eb="27">
      <t>ニュウガク</t>
    </rPh>
    <rPh sb="31" eb="33">
      <t>シュウガク</t>
    </rPh>
    <rPh sb="39" eb="40">
      <t>カシ</t>
    </rPh>
    <rPh sb="41" eb="42">
      <t>ツキ</t>
    </rPh>
    <rPh sb="43" eb="44">
      <t>サル</t>
    </rPh>
    <rPh sb="45" eb="46">
      <t>コ</t>
    </rPh>
    <rPh sb="47" eb="48">
      <t>ショ</t>
    </rPh>
    <rPh sb="53" eb="55">
      <t>ケッコン</t>
    </rPh>
    <rPh sb="59" eb="61">
      <t>ソウサイ</t>
    </rPh>
    <phoneticPr fontId="2"/>
  </si>
  <si>
    <t>元金弁済
の内訳</t>
    <rPh sb="0" eb="2">
      <t>ガンキン</t>
    </rPh>
    <rPh sb="2" eb="4">
      <t>ベンサイ</t>
    </rPh>
    <rPh sb="6" eb="8">
      <t>ウチワケ</t>
    </rPh>
    <phoneticPr fontId="2"/>
  </si>
  <si>
    <t>自　令和　　　　年　　　　月</t>
    <rPh sb="0" eb="1">
      <t>ミズカ</t>
    </rPh>
    <rPh sb="2" eb="3">
      <t>レイ</t>
    </rPh>
    <rPh sb="3" eb="4">
      <t>ワ</t>
    </rPh>
    <rPh sb="8" eb="9">
      <t>ネン</t>
    </rPh>
    <rPh sb="13" eb="14">
      <t>ガツ</t>
    </rPh>
    <phoneticPr fontId="2"/>
  </si>
  <si>
    <t>（表）</t>
    <rPh sb="1" eb="2">
      <t>オモテ</t>
    </rPh>
    <phoneticPr fontId="2"/>
  </si>
  <si>
    <t xml:space="preserve">
                         （ＴＥＬ）</t>
  </si>
  <si>
    <r>
      <rPr>
        <sz val="10"/>
        <color theme="1"/>
        <rFont val="ＭＳ Ｐゴシック"/>
      </rPr>
      <t>　　（一般災害，入学，修学のみ）　</t>
    </r>
    <r>
      <rPr>
        <sz val="11"/>
        <color theme="1"/>
        <rFont val="ＭＳ Ｐゴシック"/>
      </rPr>
      <t>　　　　　</t>
    </r>
    <rPh sb="3" eb="5">
      <t>イッパン</t>
    </rPh>
    <rPh sb="5" eb="7">
      <t>サイガイ</t>
    </rPh>
    <rPh sb="8" eb="10">
      <t>ニュウガク</t>
    </rPh>
    <rPh sb="11" eb="13">
      <t>シュウガク</t>
    </rPh>
    <phoneticPr fontId="2"/>
  </si>
  <si>
    <t>給 料 月 額</t>
    <rPh sb="0" eb="1">
      <t>キュウ</t>
    </rPh>
    <rPh sb="2" eb="3">
      <t>リョウ</t>
    </rPh>
    <rPh sb="4" eb="5">
      <t>ツキ</t>
    </rPh>
    <rPh sb="6" eb="7">
      <t>ガク</t>
    </rPh>
    <phoneticPr fontId="2"/>
  </si>
  <si>
    <t>＜弁済可能限度額＞</t>
    <rPh sb="1" eb="3">
      <t>ベンサイ</t>
    </rPh>
    <rPh sb="3" eb="5">
      <t>カノウ</t>
    </rPh>
    <rPh sb="5" eb="7">
      <t>ゲンド</t>
    </rPh>
    <rPh sb="7" eb="8">
      <t>ガク</t>
    </rPh>
    <phoneticPr fontId="2"/>
  </si>
  <si>
    <t>期末勤勉手当からの弁済</t>
    <rPh sb="0" eb="2">
      <t>キマツ</t>
    </rPh>
    <rPh sb="2" eb="4">
      <t>キンベン</t>
    </rPh>
    <rPh sb="4" eb="6">
      <t>テアテ</t>
    </rPh>
    <rPh sb="9" eb="11">
      <t>ベンサイ</t>
    </rPh>
    <phoneticPr fontId="2"/>
  </si>
  <si>
    <t>回</t>
    <rPh sb="0" eb="1">
      <t>カイ</t>
    </rPh>
    <phoneticPr fontId="2"/>
  </si>
  <si>
    <t>期末勤勉手当からの弁済額
（申込金額の1/2を超えず30万円以上）</t>
    <rPh sb="0" eb="6">
      <t>キマツキンベンテアテ</t>
    </rPh>
    <rPh sb="9" eb="11">
      <t>ベンサイ</t>
    </rPh>
    <rPh sb="11" eb="12">
      <t>ガク</t>
    </rPh>
    <rPh sb="14" eb="16">
      <t>モウシコミ</t>
    </rPh>
    <rPh sb="16" eb="18">
      <t>キンガク</t>
    </rPh>
    <rPh sb="23" eb="24">
      <t>コ</t>
    </rPh>
    <rPh sb="28" eb="30">
      <t>マンエン</t>
    </rPh>
    <rPh sb="30" eb="32">
      <t>イジョウ</t>
    </rPh>
    <phoneticPr fontId="2"/>
  </si>
  <si>
    <t>＜弁済額の合算額＞</t>
    <rPh sb="1" eb="3">
      <t>ベンサイ</t>
    </rPh>
    <rPh sb="3" eb="4">
      <t>ガク</t>
    </rPh>
    <rPh sb="5" eb="7">
      <t>ガッサン</t>
    </rPh>
    <rPh sb="7" eb="8">
      <t>ガク</t>
    </rPh>
    <phoneticPr fontId="2"/>
  </si>
  <si>
    <t>１回当たり弁済額
（半年賦弁済）</t>
    <rPh sb="1" eb="2">
      <t>カイ</t>
    </rPh>
    <rPh sb="2" eb="3">
      <t>ア</t>
    </rPh>
    <rPh sb="5" eb="7">
      <t>ベンサイ</t>
    </rPh>
    <rPh sb="7" eb="8">
      <t>ガク</t>
    </rPh>
    <rPh sb="10" eb="11">
      <t>ハン</t>
    </rPh>
    <rPh sb="11" eb="13">
      <t>ネンプ</t>
    </rPh>
    <rPh sb="13" eb="15">
      <t>ベンサイ</t>
    </rPh>
    <phoneticPr fontId="2"/>
  </si>
  <si>
    <t>（注）</t>
    <rPh sb="1" eb="2">
      <t>チュウ</t>
    </rPh>
    <phoneticPr fontId="2"/>
  </si>
  <si>
    <t>（D）×4.5</t>
  </si>
  <si>
    <t>借入状況等申告書</t>
    <rPh sb="0" eb="2">
      <t>カリイレ</t>
    </rPh>
    <rPh sb="2" eb="4">
      <t>ジョウキョウ</t>
    </rPh>
    <rPh sb="4" eb="5">
      <t>トウ</t>
    </rPh>
    <rPh sb="5" eb="8">
      <t>シンコクショ</t>
    </rPh>
    <phoneticPr fontId="2"/>
  </si>
  <si>
    <t>申　込　人</t>
    <rPh sb="0" eb="1">
      <t>サル</t>
    </rPh>
    <rPh sb="2" eb="3">
      <t>コミ</t>
    </rPh>
    <rPh sb="4" eb="5">
      <t>ニン</t>
    </rPh>
    <phoneticPr fontId="2"/>
  </si>
  <si>
    <t>※必ず上記の記載事項に同意のうえ、本人が記名してください。</t>
    <rPh sb="1" eb="2">
      <t>カナラ</t>
    </rPh>
    <rPh sb="3" eb="5">
      <t>ジョウキ</t>
    </rPh>
    <rPh sb="6" eb="8">
      <t>キサイ</t>
    </rPh>
    <rPh sb="8" eb="10">
      <t>ジコウ</t>
    </rPh>
    <rPh sb="11" eb="13">
      <t>ドウイ</t>
    </rPh>
    <rPh sb="17" eb="19">
      <t>ホンニン</t>
    </rPh>
    <rPh sb="20" eb="22">
      <t>キメイ</t>
    </rPh>
    <phoneticPr fontId="2"/>
  </si>
  <si>
    <t>＜当共済組合の貸付けに係る借入状況＞</t>
    <rPh sb="1" eb="2">
      <t>トウ</t>
    </rPh>
    <rPh sb="2" eb="4">
      <t>キョウサイ</t>
    </rPh>
    <rPh sb="4" eb="6">
      <t>クミアイ</t>
    </rPh>
    <rPh sb="7" eb="9">
      <t>カシツ</t>
    </rPh>
    <rPh sb="11" eb="12">
      <t>カカ</t>
    </rPh>
    <rPh sb="13" eb="15">
      <t>カリイレ</t>
    </rPh>
    <rPh sb="15" eb="17">
      <t>ジョウキョウ</t>
    </rPh>
    <phoneticPr fontId="2"/>
  </si>
  <si>
    <t>貸付種別</t>
    <rPh sb="0" eb="2">
      <t>カシツケ</t>
    </rPh>
    <rPh sb="2" eb="4">
      <t>シュベツ</t>
    </rPh>
    <phoneticPr fontId="2"/>
  </si>
  <si>
    <t>合　　　計</t>
    <rPh sb="0" eb="1">
      <t>ゴウ</t>
    </rPh>
    <rPh sb="4" eb="5">
      <t>ケイ</t>
    </rPh>
    <phoneticPr fontId="2"/>
  </si>
  <si>
    <t>建築若しくは購入する建物の構造の大要</t>
  </si>
  <si>
    <t>　据置期間がある貸付けについては、当該貸付けに係る据置期間終了後の弁済額を記入してください。</t>
    <rPh sb="1" eb="3">
      <t>スエオキ</t>
    </rPh>
    <rPh sb="3" eb="5">
      <t>キカン</t>
    </rPh>
    <rPh sb="8" eb="10">
      <t>カシツ</t>
    </rPh>
    <rPh sb="17" eb="19">
      <t>トウガイ</t>
    </rPh>
    <rPh sb="19" eb="21">
      <t>カシツ</t>
    </rPh>
    <rPh sb="23" eb="24">
      <t>カカ</t>
    </rPh>
    <rPh sb="25" eb="27">
      <t>スエオキ</t>
    </rPh>
    <rPh sb="27" eb="29">
      <t>キカン</t>
    </rPh>
    <rPh sb="29" eb="31">
      <t>シュウリョウ</t>
    </rPh>
    <rPh sb="31" eb="32">
      <t>ゴ</t>
    </rPh>
    <rPh sb="33" eb="35">
      <t>ベンサイ</t>
    </rPh>
    <rPh sb="35" eb="36">
      <t>ガク</t>
    </rPh>
    <rPh sb="37" eb="39">
      <t>キニュウ</t>
    </rPh>
    <phoneticPr fontId="2"/>
  </si>
  <si>
    <t>「貸付種別」欄には、以下の貸付種別に該当する番号を記入してください。</t>
    <rPh sb="1" eb="3">
      <t>カシツケ</t>
    </rPh>
    <rPh sb="3" eb="5">
      <t>シュベツ</t>
    </rPh>
    <rPh sb="6" eb="7">
      <t>ラン</t>
    </rPh>
    <rPh sb="10" eb="12">
      <t>イカ</t>
    </rPh>
    <rPh sb="13" eb="15">
      <t>カシツケ</t>
    </rPh>
    <rPh sb="15" eb="17">
      <t>シュベツ</t>
    </rPh>
    <rPh sb="18" eb="20">
      <t>ガイトウ</t>
    </rPh>
    <rPh sb="22" eb="24">
      <t>バンゴウ</t>
    </rPh>
    <rPh sb="25" eb="27">
      <t>キニュウ</t>
    </rPh>
    <phoneticPr fontId="2"/>
  </si>
  <si>
    <t>１：普通貸付　２：住宅貸付（介護除く）　３：在宅介護対応住宅貸付　４：一般災害貸付　５：住宅災害新規貸付　６：住宅災害再貸付　
７：医療貸付　８：入学貸付　９：修学貸付　10：結婚貸付　11：葬祭貸付　12：特例住宅災害貸付</t>
    <rPh sb="2" eb="4">
      <t>フツウ</t>
    </rPh>
    <rPh sb="4" eb="6">
      <t>カシツケ</t>
    </rPh>
    <rPh sb="9" eb="11">
      <t>ジュウタク</t>
    </rPh>
    <rPh sb="11" eb="13">
      <t>カシツ</t>
    </rPh>
    <rPh sb="14" eb="16">
      <t>カイゴ</t>
    </rPh>
    <rPh sb="16" eb="17">
      <t>ノゾ</t>
    </rPh>
    <rPh sb="22" eb="24">
      <t>ザイタク</t>
    </rPh>
    <rPh sb="24" eb="26">
      <t>カイゴ</t>
    </rPh>
    <rPh sb="26" eb="28">
      <t>タイオウ</t>
    </rPh>
    <rPh sb="28" eb="30">
      <t>ジュウタク</t>
    </rPh>
    <rPh sb="30" eb="32">
      <t>カシツ</t>
    </rPh>
    <rPh sb="35" eb="37">
      <t>イッパン</t>
    </rPh>
    <rPh sb="37" eb="39">
      <t>サイガイ</t>
    </rPh>
    <rPh sb="39" eb="41">
      <t>カシツケ</t>
    </rPh>
    <rPh sb="44" eb="46">
      <t>ジュウタク</t>
    </rPh>
    <rPh sb="46" eb="48">
      <t>サイガイ</t>
    </rPh>
    <rPh sb="48" eb="50">
      <t>シンキ</t>
    </rPh>
    <rPh sb="50" eb="52">
      <t>カシツケ</t>
    </rPh>
    <rPh sb="55" eb="57">
      <t>ジュウタク</t>
    </rPh>
    <rPh sb="57" eb="59">
      <t>サイガイ</t>
    </rPh>
    <rPh sb="59" eb="60">
      <t>サイ</t>
    </rPh>
    <rPh sb="60" eb="62">
      <t>カシツ</t>
    </rPh>
    <rPh sb="66" eb="68">
      <t>イリョウ</t>
    </rPh>
    <rPh sb="68" eb="70">
      <t>カシツケ</t>
    </rPh>
    <rPh sb="73" eb="75">
      <t>ニュウガク</t>
    </rPh>
    <rPh sb="75" eb="77">
      <t>カシツケ</t>
    </rPh>
    <rPh sb="80" eb="82">
      <t>シュウガク</t>
    </rPh>
    <rPh sb="82" eb="84">
      <t>カシツケ</t>
    </rPh>
    <rPh sb="88" eb="90">
      <t>ケッコン</t>
    </rPh>
    <rPh sb="90" eb="92">
      <t>カシツケ</t>
    </rPh>
    <rPh sb="96" eb="98">
      <t>ソウサイ</t>
    </rPh>
    <rPh sb="98" eb="100">
      <t>カシツケ</t>
    </rPh>
    <rPh sb="104" eb="106">
      <t>トクレイ</t>
    </rPh>
    <rPh sb="106" eb="108">
      <t>ジュウタク</t>
    </rPh>
    <rPh sb="108" eb="110">
      <t>サイガイ</t>
    </rPh>
    <rPh sb="110" eb="112">
      <t>カシツケ</t>
    </rPh>
    <phoneticPr fontId="2"/>
  </si>
  <si>
    <t>高額医療貸付及び出産貸付については、上記の借入状況に記入する必要はありません。</t>
    <rPh sb="0" eb="2">
      <t>コウガク</t>
    </rPh>
    <rPh sb="2" eb="4">
      <t>イリョウ</t>
    </rPh>
    <rPh sb="4" eb="6">
      <t>カシツケ</t>
    </rPh>
    <rPh sb="6" eb="7">
      <t>オヨ</t>
    </rPh>
    <rPh sb="8" eb="10">
      <t>シュッサン</t>
    </rPh>
    <rPh sb="10" eb="12">
      <t>カシツケ</t>
    </rPh>
    <rPh sb="18" eb="20">
      <t>ジョウキ</t>
    </rPh>
    <rPh sb="21" eb="23">
      <t>カリイレ</t>
    </rPh>
    <rPh sb="23" eb="25">
      <t>ジョウキョウ</t>
    </rPh>
    <rPh sb="26" eb="28">
      <t>キニュウ</t>
    </rPh>
    <rPh sb="30" eb="32">
      <t>ヒツヨウ</t>
    </rPh>
    <phoneticPr fontId="2"/>
  </si>
  <si>
    <t>同一の貸付種別がある場合は、各々１件ごと記入してください。</t>
    <rPh sb="0" eb="2">
      <t>ドウイツ</t>
    </rPh>
    <rPh sb="3" eb="5">
      <t>カシツケ</t>
    </rPh>
    <rPh sb="5" eb="7">
      <t>シュベツ</t>
    </rPh>
    <rPh sb="10" eb="12">
      <t>バアイ</t>
    </rPh>
    <rPh sb="14" eb="16">
      <t>オノオノ</t>
    </rPh>
    <rPh sb="17" eb="18">
      <t>ケン</t>
    </rPh>
    <rPh sb="20" eb="22">
      <t>キニュウ</t>
    </rPh>
    <phoneticPr fontId="2"/>
  </si>
  <si>
    <t>令和　　　年　　　月　　　日</t>
  </si>
  <si>
    <t>「区分」欄は、該当するものを○で囲んでください。</t>
    <rPh sb="1" eb="3">
      <t>クブン</t>
    </rPh>
    <rPh sb="4" eb="5">
      <t>ラン</t>
    </rPh>
    <rPh sb="7" eb="9">
      <t>ガイトウ</t>
    </rPh>
    <rPh sb="16" eb="17">
      <t>カコ</t>
    </rPh>
    <phoneticPr fontId="2"/>
  </si>
  <si>
    <t>新規・弁済中</t>
    <rPh sb="0" eb="2">
      <t>シンキ</t>
    </rPh>
    <rPh sb="3" eb="5">
      <t>ベンサイ</t>
    </rPh>
    <rPh sb="5" eb="6">
      <t>チュウ</t>
    </rPh>
    <phoneticPr fontId="2"/>
  </si>
  <si>
    <t>フリガナ</t>
  </si>
  <si>
    <t>氏　　名</t>
    <rPh sb="0" eb="1">
      <t>シ</t>
    </rPh>
    <rPh sb="3" eb="4">
      <t>メイ</t>
    </rPh>
    <phoneticPr fontId="2"/>
  </si>
  <si>
    <t>団体信用
生命保険
（○で囲む）</t>
  </si>
  <si>
    <t>（A)</t>
  </si>
  <si>
    <t>（単位：円）</t>
    <rPh sb="1" eb="3">
      <t>タンイ</t>
    </rPh>
    <rPh sb="4" eb="5">
      <t>エン</t>
    </rPh>
    <phoneticPr fontId="2"/>
  </si>
  <si>
    <t>（B)</t>
  </si>
  <si>
    <t>（裏）</t>
    <rPh sb="1" eb="2">
      <t>ウラ</t>
    </rPh>
    <phoneticPr fontId="2"/>
  </si>
  <si>
    <t>毎月弁済額</t>
    <rPh sb="0" eb="2">
      <t>マイツキ</t>
    </rPh>
    <rPh sb="2" eb="4">
      <t>ベンサイ</t>
    </rPh>
    <rPh sb="4" eb="5">
      <t>ガク</t>
    </rPh>
    <phoneticPr fontId="2"/>
  </si>
  <si>
    <t>借入年月日</t>
  </si>
  <si>
    <t>＜他の金融機関等からの借入金に係る借入状況＞</t>
    <rPh sb="1" eb="2">
      <t>タ</t>
    </rPh>
    <rPh sb="3" eb="5">
      <t>キンユウ</t>
    </rPh>
    <rPh sb="5" eb="7">
      <t>キカン</t>
    </rPh>
    <rPh sb="7" eb="8">
      <t>トウ</t>
    </rPh>
    <phoneticPr fontId="2"/>
  </si>
  <si>
    <t>　１：住宅金融支援機構　２：銀行　３：農林中央金庫　４：労働金庫　５：信用金庫　６：消費者金融
　７：地方公共団体による住宅融資等　８：互助会　９：信販会社　１０：個人　１１：その他</t>
    <rPh sb="3" eb="5">
      <t>ジュウタク</t>
    </rPh>
    <rPh sb="7" eb="9">
      <t>シエン</t>
    </rPh>
    <rPh sb="9" eb="11">
      <t>キコウ</t>
    </rPh>
    <rPh sb="14" eb="16">
      <t>ギンコウ</t>
    </rPh>
    <rPh sb="19" eb="21">
      <t>ノウリン</t>
    </rPh>
    <rPh sb="21" eb="23">
      <t>チュウオウ</t>
    </rPh>
    <rPh sb="23" eb="25">
      <t>キンコ</t>
    </rPh>
    <rPh sb="28" eb="30">
      <t>ロウドウ</t>
    </rPh>
    <rPh sb="30" eb="32">
      <t>キンコ</t>
    </rPh>
    <rPh sb="35" eb="37">
      <t>シンヨウ</t>
    </rPh>
    <rPh sb="37" eb="39">
      <t>キンコ</t>
    </rPh>
    <rPh sb="42" eb="45">
      <t>ショウヒシャ</t>
    </rPh>
    <rPh sb="45" eb="47">
      <t>キンユウ</t>
    </rPh>
    <rPh sb="75" eb="77">
      <t>シンパン</t>
    </rPh>
    <rPh sb="77" eb="79">
      <t>カイシャ</t>
    </rPh>
    <phoneticPr fontId="2"/>
  </si>
  <si>
    <t>＜申込人の給料月額＞</t>
    <rPh sb="1" eb="3">
      <t>モウシコミ</t>
    </rPh>
    <rPh sb="3" eb="4">
      <t>ニン</t>
    </rPh>
    <rPh sb="5" eb="7">
      <t>キュウリョウ</t>
    </rPh>
    <rPh sb="7" eb="8">
      <t>ツキ</t>
    </rPh>
    <rPh sb="8" eb="9">
      <t>ガク</t>
    </rPh>
    <phoneticPr fontId="2"/>
  </si>
  <si>
    <t>貸　付　金　額</t>
    <rPh sb="0" eb="1">
      <t>カシ</t>
    </rPh>
    <rPh sb="2" eb="3">
      <t>ヅケ</t>
    </rPh>
    <rPh sb="4" eb="5">
      <t>キン</t>
    </rPh>
    <rPh sb="6" eb="7">
      <t>ガク</t>
    </rPh>
    <phoneticPr fontId="2"/>
  </si>
  <si>
    <t>（A)×12＋（Ｂ)×2＋Ｃ</t>
  </si>
  <si>
    <t>＜借入先区分＞</t>
    <rPh sb="1" eb="3">
      <t>カリイレ</t>
    </rPh>
    <rPh sb="3" eb="4">
      <t>サキ</t>
    </rPh>
    <rPh sb="4" eb="6">
      <t>クブン</t>
    </rPh>
    <phoneticPr fontId="2"/>
  </si>
  <si>
    <t>（注）（D）欄は、貸付申込書に記入した給料月額を記入してください。</t>
    <rPh sb="1" eb="2">
      <t>チュウ</t>
    </rPh>
    <rPh sb="6" eb="7">
      <t>ラン</t>
    </rPh>
    <rPh sb="9" eb="11">
      <t>カシツケ</t>
    </rPh>
    <rPh sb="11" eb="14">
      <t>モウシコミショ</t>
    </rPh>
    <rPh sb="15" eb="17">
      <t>キニュウ</t>
    </rPh>
    <rPh sb="19" eb="21">
      <t>キュウリョウ</t>
    </rPh>
    <rPh sb="21" eb="23">
      <t>ゲツガク</t>
    </rPh>
    <rPh sb="24" eb="26">
      <t>キニュウ</t>
    </rPh>
    <phoneticPr fontId="2"/>
  </si>
  <si>
    <t>　「新規借入」の「返済年額」欄には、当共済組合への貸付申込日後に借入れる予定の借入金に係るもので、当共済組合への貸付申込日の属する月の初日から１年間の「借入先」欄に記載する金融機関等へ返済する金額を記入してください。（例：４月２０日に当共済組合に貸付けを申し込む場合は、４月１日～翌年３月３１日までに弁済する金額）</t>
    <rPh sb="2" eb="4">
      <t>シンキ</t>
    </rPh>
    <rPh sb="4" eb="6">
      <t>カリイレ</t>
    </rPh>
    <rPh sb="9" eb="11">
      <t>ヘンサイ</t>
    </rPh>
    <rPh sb="11" eb="13">
      <t>ネンガク</t>
    </rPh>
    <rPh sb="14" eb="15">
      <t>ラン</t>
    </rPh>
    <rPh sb="18" eb="19">
      <t>トウ</t>
    </rPh>
    <rPh sb="19" eb="21">
      <t>キョウサイ</t>
    </rPh>
    <rPh sb="21" eb="23">
      <t>クミアイ</t>
    </rPh>
    <rPh sb="25" eb="27">
      <t>カシツケ</t>
    </rPh>
    <rPh sb="27" eb="30">
      <t>モウシコミヒ</t>
    </rPh>
    <rPh sb="30" eb="31">
      <t>ゴ</t>
    </rPh>
    <rPh sb="32" eb="34">
      <t>カリイ</t>
    </rPh>
    <rPh sb="36" eb="38">
      <t>ヨテイ</t>
    </rPh>
    <rPh sb="39" eb="41">
      <t>カリイレ</t>
    </rPh>
    <rPh sb="41" eb="42">
      <t>キン</t>
    </rPh>
    <rPh sb="43" eb="44">
      <t>カカ</t>
    </rPh>
    <rPh sb="150" eb="152">
      <t>ベンサイ</t>
    </rPh>
    <phoneticPr fontId="2"/>
  </si>
  <si>
    <t>１．「貸付申込みに当たっての留意事項」を確認・承知のうえ、貸付を申込みます。</t>
  </si>
  <si>
    <t>　「既借入」の「返済年額」欄には、当共済組合への貸付申込日以前に借入れた借入金に係るもので、当共済組合への貸付申込日の属する月の初日から１年間の「借入先」欄に記載する金融機関等へ返済する金額を記入してください。（例：４月２０日に当共済組合に貸付けを申し込む場合は、４月１日～翌年３月３１日までに弁済する金額）</t>
    <rPh sb="2" eb="3">
      <t>キ</t>
    </rPh>
    <rPh sb="3" eb="5">
      <t>カリイ</t>
    </rPh>
    <rPh sb="8" eb="10">
      <t>ヘンサイ</t>
    </rPh>
    <rPh sb="10" eb="12">
      <t>ネンガク</t>
    </rPh>
    <rPh sb="13" eb="14">
      <t>ラン</t>
    </rPh>
    <rPh sb="17" eb="18">
      <t>トウ</t>
    </rPh>
    <rPh sb="18" eb="20">
      <t>キョウサイ</t>
    </rPh>
    <rPh sb="20" eb="22">
      <t>クミアイ</t>
    </rPh>
    <rPh sb="24" eb="26">
      <t>カシツケ</t>
    </rPh>
    <rPh sb="26" eb="28">
      <t>モウシコミ</t>
    </rPh>
    <rPh sb="28" eb="29">
      <t>ヒ</t>
    </rPh>
    <rPh sb="29" eb="31">
      <t>イゼン</t>
    </rPh>
    <rPh sb="32" eb="34">
      <t>カリイ</t>
    </rPh>
    <rPh sb="36" eb="38">
      <t>カリイレ</t>
    </rPh>
    <rPh sb="38" eb="39">
      <t>キン</t>
    </rPh>
    <rPh sb="40" eb="41">
      <t>カカ</t>
    </rPh>
    <rPh sb="46" eb="47">
      <t>トウ</t>
    </rPh>
    <rPh sb="47" eb="49">
      <t>キョウサイ</t>
    </rPh>
    <rPh sb="49" eb="51">
      <t>クミアイ</t>
    </rPh>
    <rPh sb="53" eb="55">
      <t>カシツ</t>
    </rPh>
    <rPh sb="55" eb="57">
      <t>モウシコミ</t>
    </rPh>
    <rPh sb="57" eb="58">
      <t>ビ</t>
    </rPh>
    <rPh sb="59" eb="60">
      <t>ゾク</t>
    </rPh>
    <rPh sb="62" eb="63">
      <t>ツキ</t>
    </rPh>
    <rPh sb="64" eb="66">
      <t>ショニチ</t>
    </rPh>
    <rPh sb="69" eb="71">
      <t>ネンカン</t>
    </rPh>
    <rPh sb="73" eb="75">
      <t>カリイレ</t>
    </rPh>
    <rPh sb="75" eb="76">
      <t>サキ</t>
    </rPh>
    <rPh sb="77" eb="78">
      <t>ラン</t>
    </rPh>
    <rPh sb="79" eb="81">
      <t>キサイ</t>
    </rPh>
    <rPh sb="83" eb="85">
      <t>キンユウ</t>
    </rPh>
    <rPh sb="85" eb="87">
      <t>キカン</t>
    </rPh>
    <rPh sb="87" eb="88">
      <t>トウ</t>
    </rPh>
    <rPh sb="89" eb="91">
      <t>ヘンサイ</t>
    </rPh>
    <rPh sb="93" eb="95">
      <t>キンガク</t>
    </rPh>
    <rPh sb="96" eb="98">
      <t>キニュウ</t>
    </rPh>
    <rPh sb="106" eb="107">
      <t>レイ</t>
    </rPh>
    <rPh sb="109" eb="110">
      <t>ガツ</t>
    </rPh>
    <rPh sb="112" eb="113">
      <t>ヒ</t>
    </rPh>
    <rPh sb="114" eb="115">
      <t>トウ</t>
    </rPh>
    <rPh sb="115" eb="117">
      <t>キョウサイ</t>
    </rPh>
    <rPh sb="117" eb="119">
      <t>クミアイ</t>
    </rPh>
    <rPh sb="120" eb="122">
      <t>カシツケ</t>
    </rPh>
    <rPh sb="124" eb="125">
      <t>モウ</t>
    </rPh>
    <rPh sb="126" eb="127">
      <t>コ</t>
    </rPh>
    <rPh sb="128" eb="130">
      <t>バアイ</t>
    </rPh>
    <rPh sb="133" eb="134">
      <t>ガツ</t>
    </rPh>
    <rPh sb="135" eb="136">
      <t>ヒ</t>
    </rPh>
    <rPh sb="137" eb="139">
      <t>ヨクネン</t>
    </rPh>
    <rPh sb="140" eb="141">
      <t>ガツ</t>
    </rPh>
    <rPh sb="143" eb="144">
      <t>ヒ</t>
    </rPh>
    <rPh sb="147" eb="149">
      <t>ベンサイ</t>
    </rPh>
    <rPh sb="151" eb="153">
      <t>キンガク</t>
    </rPh>
    <phoneticPr fontId="2"/>
  </si>
  <si>
    <t>「借入先」欄には、下記の借入先区分に該当する番号を記入してください。</t>
    <rPh sb="1" eb="3">
      <t>カリイレ</t>
    </rPh>
    <rPh sb="3" eb="4">
      <t>サキ</t>
    </rPh>
    <rPh sb="5" eb="6">
      <t>ラン</t>
    </rPh>
    <rPh sb="9" eb="11">
      <t>カキ</t>
    </rPh>
    <rPh sb="12" eb="14">
      <t>カリイレ</t>
    </rPh>
    <rPh sb="14" eb="15">
      <t>サキ</t>
    </rPh>
    <rPh sb="15" eb="17">
      <t>クブン</t>
    </rPh>
    <rPh sb="18" eb="20">
      <t>ガイトウ</t>
    </rPh>
    <rPh sb="22" eb="24">
      <t>バンゴウ</t>
    </rPh>
    <rPh sb="25" eb="27">
      <t>キニュウ</t>
    </rPh>
    <phoneticPr fontId="2"/>
  </si>
  <si>
    <t>借入区分</t>
  </si>
  <si>
    <t>新規借入</t>
  </si>
  <si>
    <t>既 借 入</t>
  </si>
  <si>
    <t>年  　月　  日　</t>
    <rPh sb="0" eb="1">
      <t>ネン</t>
    </rPh>
    <rPh sb="4" eb="5">
      <t>ガツ</t>
    </rPh>
    <rPh sb="8" eb="9">
      <t>ヒ</t>
    </rPh>
    <phoneticPr fontId="2"/>
  </si>
  <si>
    <t>≦</t>
  </si>
  <si>
    <t>借入額</t>
    <rPh sb="0" eb="2">
      <t>カリイレ</t>
    </rPh>
    <rPh sb="2" eb="3">
      <t>ガク</t>
    </rPh>
    <phoneticPr fontId="2"/>
  </si>
  <si>
    <t>返済年額</t>
    <rPh sb="0" eb="2">
      <t>ヘンサイ</t>
    </rPh>
    <rPh sb="2" eb="3">
      <t>ネン</t>
    </rPh>
    <rPh sb="3" eb="4">
      <t>ガク</t>
    </rPh>
    <phoneticPr fontId="2"/>
  </si>
  <si>
    <t>（Ｃ)</t>
  </si>
  <si>
    <t>元金均等弁済</t>
    <rPh sb="0" eb="2">
      <t>ガンキン</t>
    </rPh>
    <rPh sb="2" eb="4">
      <t>キントウ</t>
    </rPh>
    <rPh sb="4" eb="6">
      <t>ベンサイ</t>
    </rPh>
    <phoneticPr fontId="2"/>
  </si>
  <si>
    <t>　※単位の入力は不要です。</t>
    <rPh sb="2" eb="4">
      <t>タンイ</t>
    </rPh>
    <rPh sb="5" eb="7">
      <t>ニュウリョク</t>
    </rPh>
    <rPh sb="8" eb="10">
      <t>フヨウ</t>
    </rPh>
    <phoneticPr fontId="2"/>
  </si>
  <si>
    <t>①借入金額（円）</t>
    <rPh sb="3" eb="5">
      <t>キンガク</t>
    </rPh>
    <rPh sb="6" eb="7">
      <t>エン</t>
    </rPh>
    <phoneticPr fontId="2"/>
  </si>
  <si>
    <t>②うちﾎﾞｰﾅｽ弁済分（円）</t>
    <rPh sb="8" eb="10">
      <t>ベンサイ</t>
    </rPh>
    <rPh sb="10" eb="11">
      <t>ブン</t>
    </rPh>
    <rPh sb="12" eb="13">
      <t>エン</t>
    </rPh>
    <phoneticPr fontId="2"/>
  </si>
  <si>
    <t>　 うち毎月弁済分（円）</t>
    <rPh sb="4" eb="6">
      <t>マイツキ</t>
    </rPh>
    <rPh sb="6" eb="8">
      <t>ベンサイ</t>
    </rPh>
    <rPh sb="8" eb="9">
      <t>ブン</t>
    </rPh>
    <rPh sb="10" eb="11">
      <t>エン</t>
    </rPh>
    <phoneticPr fontId="2"/>
  </si>
  <si>
    <t>③貸入月（月）</t>
    <rPh sb="1" eb="2">
      <t>カシ</t>
    </rPh>
    <rPh sb="2" eb="3">
      <t>イリ</t>
    </rPh>
    <rPh sb="3" eb="4">
      <t>ツキ</t>
    </rPh>
    <rPh sb="5" eb="6">
      <t>ガツ</t>
    </rPh>
    <phoneticPr fontId="2"/>
  </si>
  <si>
    <t>弁済回数</t>
    <rPh sb="0" eb="2">
      <t>ベンサイ</t>
    </rPh>
    <rPh sb="2" eb="4">
      <t>カイスウ</t>
    </rPh>
    <phoneticPr fontId="2"/>
  </si>
  <si>
    <t>④貸付コード</t>
    <rPh sb="1" eb="3">
      <t>カシツケ</t>
    </rPh>
    <phoneticPr fontId="2"/>
  </si>
  <si>
    <t>　 利率(半年利，％）</t>
    <rPh sb="5" eb="7">
      <t>ハントシ</t>
    </rPh>
    <phoneticPr fontId="2"/>
  </si>
  <si>
    <t>　 利率(月利，％）</t>
  </si>
  <si>
    <t>申　　　込　　　人</t>
    <rPh sb="0" eb="1">
      <t>サル</t>
    </rPh>
    <rPh sb="4" eb="5">
      <t>コ</t>
    </rPh>
    <rPh sb="8" eb="9">
      <t>ニン</t>
    </rPh>
    <phoneticPr fontId="2"/>
  </si>
  <si>
    <t>⑤弁済期間（回）</t>
    <rPh sb="1" eb="3">
      <t>ベンサイ</t>
    </rPh>
    <rPh sb="6" eb="7">
      <t>カイ</t>
    </rPh>
    <phoneticPr fontId="2"/>
  </si>
  <si>
    <t>【元金均等弁済表】</t>
    <rPh sb="1" eb="3">
      <t>ガンキン</t>
    </rPh>
    <rPh sb="3" eb="5">
      <t>キントウ</t>
    </rPh>
    <rPh sb="5" eb="7">
      <t>ベンサイ</t>
    </rPh>
    <rPh sb="7" eb="8">
      <t>ヒョウ</t>
    </rPh>
    <phoneticPr fontId="2"/>
  </si>
  <si>
    <t>毎月弁済分</t>
    <rPh sb="0" eb="2">
      <t>マイツキ</t>
    </rPh>
    <rPh sb="2" eb="4">
      <t>ベンサイ</t>
    </rPh>
    <rPh sb="4" eb="5">
      <t>ブン</t>
    </rPh>
    <phoneticPr fontId="2"/>
  </si>
  <si>
    <t>買　　収　　費</t>
  </si>
  <si>
    <t>合計</t>
    <rPh sb="0" eb="2">
      <t>ゴウケイ</t>
    </rPh>
    <phoneticPr fontId="2"/>
  </si>
  <si>
    <t>元金</t>
  </si>
  <si>
    <t>支　援　機　構</t>
    <rPh sb="0" eb="1">
      <t>シ</t>
    </rPh>
    <rPh sb="2" eb="3">
      <t>エン</t>
    </rPh>
    <rPh sb="4" eb="5">
      <t>キ</t>
    </rPh>
    <rPh sb="6" eb="7">
      <t>カマエ</t>
    </rPh>
    <phoneticPr fontId="2"/>
  </si>
  <si>
    <t>所 属 ・ 職 名</t>
    <rPh sb="0" eb="1">
      <t>ショ</t>
    </rPh>
    <rPh sb="2" eb="3">
      <t>ゾク</t>
    </rPh>
    <rPh sb="6" eb="7">
      <t>ショク</t>
    </rPh>
    <rPh sb="8" eb="9">
      <t>メイ</t>
    </rPh>
    <phoneticPr fontId="2"/>
  </si>
  <si>
    <t>利息</t>
  </si>
  <si>
    <t>30万円以上かつ借入金額の1/2以下で設定してください。</t>
    <rPh sb="2" eb="6">
      <t>マンエンイジョウ</t>
    </rPh>
    <rPh sb="8" eb="10">
      <t>カリイレ</t>
    </rPh>
    <rPh sb="10" eb="12">
      <t>キンガク</t>
    </rPh>
    <rPh sb="16" eb="18">
      <t>イカ</t>
    </rPh>
    <rPh sb="19" eb="21">
      <t>セッテイ</t>
    </rPh>
    <phoneticPr fontId="2"/>
  </si>
  <si>
    <t>元利合計</t>
  </si>
  <si>
    <t>その他貸付</t>
    <rPh sb="2" eb="3">
      <t>タ</t>
    </rPh>
    <rPh sb="3" eb="5">
      <t>カシツケ</t>
    </rPh>
    <phoneticPr fontId="2"/>
  </si>
  <si>
    <t>貸付コード</t>
    <rPh sb="0" eb="2">
      <t>カシツケ</t>
    </rPh>
    <phoneticPr fontId="2"/>
  </si>
  <si>
    <t>災害関係貸付</t>
    <rPh sb="0" eb="2">
      <t>サイガイ</t>
    </rPh>
    <rPh sb="2" eb="4">
      <t>カンケイ</t>
    </rPh>
    <rPh sb="4" eb="6">
      <t>カシツケ</t>
    </rPh>
    <phoneticPr fontId="2"/>
  </si>
  <si>
    <t>介護住宅貸付</t>
    <rPh sb="0" eb="2">
      <t>カイゴ</t>
    </rPh>
    <rPh sb="2" eb="4">
      <t>ジュウタク</t>
    </rPh>
    <rPh sb="4" eb="6">
      <t>カシツケ</t>
    </rPh>
    <phoneticPr fontId="2"/>
  </si>
  <si>
    <t>（着工予定日）</t>
  </si>
  <si>
    <t>総弁済額</t>
    <rPh sb="0" eb="1">
      <t>ソウ</t>
    </rPh>
    <rPh sb="1" eb="3">
      <t>ベンサイ</t>
    </rPh>
    <rPh sb="3" eb="4">
      <t>ガク</t>
    </rPh>
    <phoneticPr fontId="2"/>
  </si>
  <si>
    <t>未弁済元金</t>
    <rPh sb="1" eb="3">
      <t>ベンサイ</t>
    </rPh>
    <phoneticPr fontId="2"/>
  </si>
  <si>
    <t>ボーナス弁済分</t>
    <rPh sb="4" eb="6">
      <t>ベンサイ</t>
    </rPh>
    <rPh sb="6" eb="7">
      <t>ブン</t>
    </rPh>
    <phoneticPr fontId="2"/>
  </si>
  <si>
    <t>年利</t>
    <rPh sb="0" eb="2">
      <t>ネンリ</t>
    </rPh>
    <phoneticPr fontId="2"/>
  </si>
  <si>
    <t>歳　</t>
    <rPh sb="0" eb="1">
      <t>サイ</t>
    </rPh>
    <phoneticPr fontId="2"/>
  </si>
  <si>
    <t>元利均等弁済</t>
    <rPh sb="0" eb="2">
      <t>ガンリ</t>
    </rPh>
    <rPh sb="2" eb="4">
      <t>キントウ</t>
    </rPh>
    <rPh sb="4" eb="6">
      <t>ベンサイ</t>
    </rPh>
    <phoneticPr fontId="2"/>
  </si>
  <si>
    <t>③貸入月（月）</t>
    <rPh sb="1" eb="2">
      <t>カシ</t>
    </rPh>
    <rPh sb="2" eb="3">
      <t>イリ</t>
    </rPh>
    <rPh sb="3" eb="4">
      <t>ツキ</t>
    </rPh>
    <rPh sb="5" eb="6">
      <t>ツキ</t>
    </rPh>
    <phoneticPr fontId="2"/>
  </si>
  <si>
    <t>【元利均等弁済表】</t>
    <rPh sb="1" eb="3">
      <t>ガンリ</t>
    </rPh>
    <rPh sb="3" eb="5">
      <t>キントウ</t>
    </rPh>
    <rPh sb="5" eb="7">
      <t>ベンサイ</t>
    </rPh>
    <rPh sb="7" eb="8">
      <t>ヒョウ</t>
    </rPh>
    <phoneticPr fontId="2"/>
  </si>
  <si>
    <t>30万円以上かつ借入金額の1/2以下で設定してください。</t>
    <rPh sb="2" eb="4">
      <t>マンエン</t>
    </rPh>
    <rPh sb="4" eb="6">
      <t>イジョウ</t>
    </rPh>
    <rPh sb="8" eb="10">
      <t>カリイレ</t>
    </rPh>
    <rPh sb="10" eb="12">
      <t>キンガク</t>
    </rPh>
    <rPh sb="16" eb="18">
      <t>イカ</t>
    </rPh>
    <rPh sb="19" eb="21">
      <t>セッテイ</t>
    </rPh>
    <phoneticPr fontId="2"/>
  </si>
  <si>
    <t>ボーナス弁済額</t>
    <rPh sb="4" eb="6">
      <t>ベンサイ</t>
    </rPh>
    <rPh sb="6" eb="7">
      <t>ガク</t>
    </rPh>
    <phoneticPr fontId="2"/>
  </si>
  <si>
    <t>様式第１号の２</t>
  </si>
  <si>
    <t>□ 住宅（一般）
□ 住宅（在宅介護対応住宅）
□ 住宅災害</t>
    <rPh sb="2" eb="3">
      <t>ジュウ</t>
    </rPh>
    <rPh sb="3" eb="4">
      <t>タク</t>
    </rPh>
    <rPh sb="5" eb="7">
      <t>イッパン</t>
    </rPh>
    <rPh sb="11" eb="13">
      <t>ジュウタク</t>
    </rPh>
    <rPh sb="14" eb="16">
      <t>ザイタク</t>
    </rPh>
    <rPh sb="16" eb="18">
      <t>カイゴ</t>
    </rPh>
    <rPh sb="18" eb="20">
      <t>タイオウ</t>
    </rPh>
    <rPh sb="20" eb="22">
      <t>ジュウタク</t>
    </rPh>
    <rPh sb="26" eb="28">
      <t>ジュウタク</t>
    </rPh>
    <rPh sb="28" eb="30">
      <t>サイガイ</t>
    </rPh>
    <phoneticPr fontId="2"/>
  </si>
  <si>
    <t>申　込　金　額</t>
    <rPh sb="0" eb="1">
      <t>サル</t>
    </rPh>
    <rPh sb="2" eb="3">
      <t>コ</t>
    </rPh>
    <rPh sb="4" eb="5">
      <t>キン</t>
    </rPh>
    <rPh sb="6" eb="7">
      <t>ガク</t>
    </rPh>
    <phoneticPr fontId="2"/>
  </si>
  <si>
    <t>支部処理欄</t>
    <rPh sb="0" eb="1">
      <t>シ</t>
    </rPh>
    <rPh sb="1" eb="2">
      <t>ブ</t>
    </rPh>
    <rPh sb="2" eb="3">
      <t>ショ</t>
    </rPh>
    <rPh sb="3" eb="4">
      <t>リ</t>
    </rPh>
    <rPh sb="4" eb="5">
      <t>ラン</t>
    </rPh>
    <phoneticPr fontId="2"/>
  </si>
  <si>
    <t>２．「貸付保険に係る個人情報の取扱いについて」を確認・承知のうえ、貸付を申込みます。</t>
  </si>
  <si>
    <t xml:space="preserve"> フ リ ガ ナ</t>
  </si>
  <si>
    <t>組合員加入
年　月　日</t>
    <rPh sb="0" eb="1">
      <t>クミ</t>
    </rPh>
    <rPh sb="1" eb="2">
      <t>ア</t>
    </rPh>
    <rPh sb="2" eb="3">
      <t>イン</t>
    </rPh>
    <rPh sb="3" eb="4">
      <t>カ</t>
    </rPh>
    <rPh sb="4" eb="5">
      <t>ニュウ</t>
    </rPh>
    <rPh sb="6" eb="7">
      <t>ネン</t>
    </rPh>
    <rPh sb="8" eb="9">
      <t>ガツ</t>
    </rPh>
    <rPh sb="10" eb="11">
      <t>ヒ</t>
    </rPh>
    <phoneticPr fontId="2"/>
  </si>
  <si>
    <t>当該不動産を登記する場合その名義人となる者の住所・氏名・続柄</t>
    <rPh sb="28" eb="29">
      <t>ツヅ</t>
    </rPh>
    <rPh sb="29" eb="30">
      <t>ガラ</t>
    </rPh>
    <phoneticPr fontId="2"/>
  </si>
  <si>
    <t>（住所）</t>
    <rPh sb="1" eb="3">
      <t>ジュウショ</t>
    </rPh>
    <phoneticPr fontId="2"/>
  </si>
  <si>
    <t>（氏名）</t>
    <rPh sb="1" eb="3">
      <t>シメイ</t>
    </rPh>
    <phoneticPr fontId="2"/>
  </si>
  <si>
    <t>建築若しくは購入する建物又は取得する土地の所在地</t>
  </si>
  <si>
    <t>　　　　造　　　　階建　・　延床　　　　　㎡　・　室数　　　　室</t>
  </si>
  <si>
    <t>取得する土地の面積</t>
  </si>
  <si>
    <t>月</t>
    <rPh sb="0" eb="1">
      <t>ツキ</t>
    </rPh>
    <phoneticPr fontId="2"/>
  </si>
  <si>
    <t>㎡　</t>
  </si>
  <si>
    <t>決定</t>
    <rPh sb="0" eb="2">
      <t>ケッテイ</t>
    </rPh>
    <phoneticPr fontId="2"/>
  </si>
  <si>
    <t>通知</t>
    <rPh sb="0" eb="2">
      <t>ツウチ</t>
    </rPh>
    <phoneticPr fontId="2"/>
  </si>
  <si>
    <t>　　□　元金均等弁済　　　　　□　元利均等弁済</t>
  </si>
  <si>
    <t>番号
貸付</t>
    <rPh sb="0" eb="2">
      <t>バンゴウ</t>
    </rPh>
    <rPh sb="3" eb="5">
      <t>カシツケ</t>
    </rPh>
    <phoneticPr fontId="2"/>
  </si>
  <si>
    <t>第　　　　　　　　号</t>
    <rPh sb="0" eb="1">
      <t>ダイ</t>
    </rPh>
    <rPh sb="9" eb="10">
      <t>ゴウ</t>
    </rPh>
    <phoneticPr fontId="2"/>
  </si>
  <si>
    <t>昭和
平成
令和</t>
    <rPh sb="0" eb="2">
      <t>ショウワ</t>
    </rPh>
    <rPh sb="3" eb="5">
      <t>ヘイセイ</t>
    </rPh>
    <rPh sb="6" eb="7">
      <t>レイ</t>
    </rPh>
    <rPh sb="7" eb="8">
      <t>ワ</t>
    </rPh>
    <phoneticPr fontId="2"/>
  </si>
  <si>
    <t>　（　　　　　職　　　　　級　　　　　号）
　　　　　　　　　　　　　　　　　　　　　　　円</t>
  </si>
  <si>
    <t>適　　用　 ・　 非　　適　　用</t>
  </si>
  <si>
    <t>新築又は増改築等の着工及び完了予定年月日</t>
  </si>
  <si>
    <t>　　年　　　　　月　　　　　日</t>
  </si>
  <si>
    <t>貸　付　申　込　書</t>
    <rPh sb="0" eb="1">
      <t>カシ</t>
    </rPh>
    <rPh sb="2" eb="3">
      <t>ツキ</t>
    </rPh>
    <rPh sb="4" eb="5">
      <t>サル</t>
    </rPh>
    <rPh sb="6" eb="7">
      <t>コ</t>
    </rPh>
    <rPh sb="8" eb="9">
      <t>ショ</t>
    </rPh>
    <phoneticPr fontId="2"/>
  </si>
  <si>
    <t>期末勤勉手当からの弁済額
（申込金額の1/2を超えず30万円以上）</t>
    <rPh sb="0" eb="2">
      <t>キマツ</t>
    </rPh>
    <rPh sb="2" eb="4">
      <t>キンベン</t>
    </rPh>
    <rPh sb="4" eb="6">
      <t>テアテ</t>
    </rPh>
    <rPh sb="9" eb="11">
      <t>ベンサイ</t>
    </rPh>
    <rPh sb="11" eb="12">
      <t>ガク</t>
    </rPh>
    <rPh sb="14" eb="16">
      <t>モウシコミ</t>
    </rPh>
    <rPh sb="16" eb="18">
      <t>キンガク</t>
    </rPh>
    <rPh sb="23" eb="24">
      <t>コ</t>
    </rPh>
    <rPh sb="28" eb="30">
      <t>マンエン</t>
    </rPh>
    <rPh sb="30" eb="32">
      <t>イジョウ</t>
    </rPh>
    <phoneticPr fontId="2"/>
  </si>
  <si>
    <t>承　　　　認</t>
    <rPh sb="0" eb="1">
      <t>ショウ</t>
    </rPh>
    <rPh sb="5" eb="6">
      <t>シノブ</t>
    </rPh>
    <phoneticPr fontId="2"/>
  </si>
  <si>
    <t>貸　付　日</t>
    <rPh sb="0" eb="1">
      <t>カシ</t>
    </rPh>
    <rPh sb="2" eb="3">
      <t>ツキ</t>
    </rPh>
    <rPh sb="4" eb="5">
      <t>ビ</t>
    </rPh>
    <phoneticPr fontId="2"/>
  </si>
  <si>
    <t>貸付満了日</t>
    <rPh sb="0" eb="2">
      <t>カシツケ</t>
    </rPh>
    <rPh sb="2" eb="4">
      <t>マンリョウ</t>
    </rPh>
    <rPh sb="4" eb="5">
      <t>ビ</t>
    </rPh>
    <phoneticPr fontId="2"/>
  </si>
  <si>
    <t>（続柄）</t>
    <rPh sb="1" eb="3">
      <t>ゾクガラ</t>
    </rPh>
    <phoneticPr fontId="2"/>
  </si>
  <si>
    <t>令和　　年　　月　　日</t>
    <rPh sb="0" eb="2">
      <t>レイワ</t>
    </rPh>
    <rPh sb="4" eb="5">
      <t>ネン</t>
    </rPh>
    <rPh sb="7" eb="8">
      <t>ツキ</t>
    </rPh>
    <rPh sb="10" eb="11">
      <t>ニチ</t>
    </rPh>
    <phoneticPr fontId="2"/>
  </si>
  <si>
    <t>年月日
申 込</t>
    <rPh sb="0" eb="3">
      <t>ネンガッピ</t>
    </rPh>
    <rPh sb="4" eb="5">
      <t>サル</t>
    </rPh>
    <rPh sb="6" eb="7">
      <t>コミ</t>
    </rPh>
    <phoneticPr fontId="2"/>
  </si>
  <si>
    <t>期間
据置</t>
    <rPh sb="0" eb="2">
      <t>キカン</t>
    </rPh>
    <rPh sb="3" eb="5">
      <t>スエオキ</t>
    </rPh>
    <phoneticPr fontId="2"/>
  </si>
  <si>
    <t>受 取 金 融 機 関 （普通預金）</t>
    <rPh sb="13" eb="15">
      <t>フツウ</t>
    </rPh>
    <rPh sb="15" eb="17">
      <t>ヨキン</t>
    </rPh>
    <phoneticPr fontId="2"/>
  </si>
  <si>
    <t>　　令和　　　　年　　　月　　　日</t>
    <rPh sb="2" eb="4">
      <t>レイワ</t>
    </rPh>
    <rPh sb="8" eb="9">
      <t>ネン</t>
    </rPh>
    <rPh sb="12" eb="13">
      <t>ツキ</t>
    </rPh>
    <rPh sb="16" eb="17">
      <t>ヒ</t>
    </rPh>
    <phoneticPr fontId="2"/>
  </si>
  <si>
    <t>至　令和　　　年　　　月</t>
    <rPh sb="2" eb="4">
      <t>レイワ</t>
    </rPh>
    <phoneticPr fontId="2"/>
  </si>
  <si>
    <t>月　　
（住宅災害のみ）</t>
    <rPh sb="0" eb="1">
      <t>ツキ</t>
    </rPh>
    <rPh sb="5" eb="7">
      <t>ジュウタク</t>
    </rPh>
    <rPh sb="7" eb="9">
      <t>サイガイ</t>
    </rPh>
    <phoneticPr fontId="2"/>
  </si>
  <si>
    <t>用　　地　　費</t>
  </si>
  <si>
    <t>(一回当たりの弁済額)</t>
  </si>
  <si>
    <t>扶養家族数</t>
    <rPh sb="0" eb="2">
      <t>フヨウ</t>
    </rPh>
    <rPh sb="2" eb="4">
      <t>カゾク</t>
    </rPh>
    <rPh sb="4" eb="5">
      <t>スウ</t>
    </rPh>
    <phoneticPr fontId="2"/>
  </si>
  <si>
    <t>費用の大要</t>
  </si>
  <si>
    <t>資金調達計画</t>
  </si>
  <si>
    <t>新　　築　　費</t>
  </si>
  <si>
    <t>増　改　築　費</t>
  </si>
  <si>
    <t>その他の設備費</t>
  </si>
  <si>
    <t>合　　　計</t>
  </si>
  <si>
    <t>借 用 申 込 額</t>
  </si>
  <si>
    <t>その他の借入額</t>
  </si>
  <si>
    <t>不　　承　　認</t>
    <rPh sb="0" eb="1">
      <t>フ</t>
    </rPh>
    <rPh sb="3" eb="4">
      <t>ショウ</t>
    </rPh>
    <rPh sb="6" eb="7">
      <t>シノブ</t>
    </rPh>
    <phoneticPr fontId="2"/>
  </si>
  <si>
    <t>人　</t>
    <rPh sb="0" eb="1">
      <t>ニン</t>
    </rPh>
    <phoneticPr fontId="2"/>
  </si>
  <si>
    <t>万円</t>
    <rPh sb="0" eb="2">
      <t>マンエン</t>
    </rPh>
    <phoneticPr fontId="2"/>
  </si>
  <si>
    <t>万円</t>
  </si>
  <si>
    <t>様式第1号の１</t>
  </si>
  <si>
    <t>申　　込　　金　　額</t>
    <rPh sb="0" eb="1">
      <t>サル</t>
    </rPh>
    <rPh sb="3" eb="4">
      <t>コ</t>
    </rPh>
    <rPh sb="6" eb="7">
      <t>キン</t>
    </rPh>
    <rPh sb="9" eb="10">
      <t>ガク</t>
    </rPh>
    <phoneticPr fontId="2"/>
  </si>
  <si>
    <t>申　込　人</t>
    <rPh sb="0" eb="1">
      <t>サル</t>
    </rPh>
    <rPh sb="2" eb="3">
      <t>コ</t>
    </rPh>
    <rPh sb="4" eb="5">
      <t>ニン</t>
    </rPh>
    <phoneticPr fontId="2"/>
  </si>
  <si>
    <t>支　部　処　理　欄</t>
    <rPh sb="0" eb="1">
      <t>シ</t>
    </rPh>
    <rPh sb="2" eb="3">
      <t>ブ</t>
    </rPh>
    <rPh sb="4" eb="5">
      <t>ショ</t>
    </rPh>
    <rPh sb="6" eb="7">
      <t>リ</t>
    </rPh>
    <rPh sb="8" eb="9">
      <t>ラン</t>
    </rPh>
    <phoneticPr fontId="2"/>
  </si>
  <si>
    <t>地方職員共済組合組合員貸付規程に基づいて、一般資金貸付保険が適用されることとなります。</t>
  </si>
  <si>
    <t>１．「貸付申込みに当たっての留意事項」を確認・承知のうえ、貸付を申込みます。</t>
    <rPh sb="3" eb="5">
      <t>カシツケ</t>
    </rPh>
    <rPh sb="5" eb="7">
      <t>モウシコミ</t>
    </rPh>
    <rPh sb="9" eb="10">
      <t>ア</t>
    </rPh>
    <rPh sb="14" eb="16">
      <t>リュウイ</t>
    </rPh>
    <rPh sb="16" eb="18">
      <t>ジコウ</t>
    </rPh>
    <phoneticPr fontId="2"/>
  </si>
  <si>
    <t>２．「貸付保険に係る個人情報の取扱いについて」を確認・承知のうえ、貸付を申込みます。</t>
    <rPh sb="3" eb="5">
      <t>カシツケ</t>
    </rPh>
    <rPh sb="5" eb="7">
      <t>ホケン</t>
    </rPh>
    <rPh sb="8" eb="9">
      <t>カカ</t>
    </rPh>
    <rPh sb="10" eb="12">
      <t>コジン</t>
    </rPh>
    <rPh sb="12" eb="14">
      <t>ジョウホウ</t>
    </rPh>
    <rPh sb="15" eb="17">
      <t>トリアツカ</t>
    </rPh>
    <rPh sb="24" eb="26">
      <t>カクニン</t>
    </rPh>
    <rPh sb="27" eb="29">
      <t>ショウチ</t>
    </rPh>
    <phoneticPr fontId="2"/>
  </si>
  <si>
    <t>　</t>
  </si>
  <si>
    <t>所属　・　職名</t>
    <rPh sb="0" eb="1">
      <t>ショ</t>
    </rPh>
    <rPh sb="1" eb="2">
      <t>ゾク</t>
    </rPh>
    <rPh sb="5" eb="6">
      <t>ショク</t>
    </rPh>
    <rPh sb="6" eb="7">
      <t>メイ</t>
    </rPh>
    <phoneticPr fontId="2"/>
  </si>
  <si>
    <t>フ　リ　ガ　ナ</t>
  </si>
  <si>
    <t>組合員加入
年　月　日</t>
    <rPh sb="0" eb="2">
      <t>クミアイ</t>
    </rPh>
    <rPh sb="2" eb="3">
      <t>イン</t>
    </rPh>
    <rPh sb="3" eb="5">
      <t>カニュウ</t>
    </rPh>
    <rPh sb="6" eb="7">
      <t>ネン</t>
    </rPh>
    <rPh sb="8" eb="9">
      <t>ツキ</t>
    </rPh>
    <rPh sb="10" eb="11">
      <t>ヒ</t>
    </rPh>
    <phoneticPr fontId="2"/>
  </si>
  <si>
    <t>給　料　月　額</t>
    <rPh sb="0" eb="1">
      <t>キュウ</t>
    </rPh>
    <rPh sb="2" eb="3">
      <t>リョウ</t>
    </rPh>
    <rPh sb="4" eb="5">
      <t>ガツ</t>
    </rPh>
    <rPh sb="6" eb="7">
      <t>ガク</t>
    </rPh>
    <phoneticPr fontId="2"/>
  </si>
  <si>
    <t>決定</t>
  </si>
  <si>
    <t>通知</t>
  </si>
  <si>
    <t>貸付
番号</t>
  </si>
  <si>
    <t>令和　　年　　月　　 日</t>
    <rPh sb="0" eb="1">
      <t>レイ</t>
    </rPh>
    <rPh sb="1" eb="2">
      <t>ワ</t>
    </rPh>
    <phoneticPr fontId="2"/>
  </si>
  <si>
    <t>令和　　年　　月　　日</t>
    <rPh sb="0" eb="1">
      <t>レイ</t>
    </rPh>
    <rPh sb="1" eb="2">
      <t>ワ</t>
    </rPh>
    <rPh sb="7" eb="8">
      <t>ツキ</t>
    </rPh>
    <phoneticPr fontId="2"/>
  </si>
  <si>
    <t>円　　</t>
    <rPh sb="0" eb="1">
      <t>エン</t>
    </rPh>
    <phoneticPr fontId="2"/>
  </si>
  <si>
    <t>　　□　元金均等弁済　　　　　□　元利均等弁済</t>
    <rPh sb="4" eb="6">
      <t>ガンキン</t>
    </rPh>
    <rPh sb="6" eb="8">
      <t>キントウ</t>
    </rPh>
    <rPh sb="8" eb="10">
      <t>ベンサイ</t>
    </rPh>
    <rPh sb="17" eb="21">
      <t>ガンリキントウ</t>
    </rPh>
    <rPh sb="21" eb="23">
      <t>ベンサイ</t>
    </rPh>
    <phoneticPr fontId="2"/>
  </si>
  <si>
    <t>弁済回数</t>
    <rPh sb="0" eb="4">
      <t>ベンサイカイスウ</t>
    </rPh>
    <phoneticPr fontId="2"/>
  </si>
  <si>
    <t>　昭和
　平成
　令和</t>
    <rPh sb="1" eb="3">
      <t>ショウワ</t>
    </rPh>
    <rPh sb="5" eb="7">
      <t>ヘイセイ</t>
    </rPh>
    <rPh sb="9" eb="10">
      <t>レイ</t>
    </rPh>
    <rPh sb="10" eb="11">
      <t>ワ</t>
    </rPh>
    <phoneticPr fontId="2"/>
  </si>
  <si>
    <t>給料からの弁済</t>
    <rPh sb="0" eb="2">
      <t>キュウリョウ</t>
    </rPh>
    <rPh sb="5" eb="7">
      <t>ベンサイ</t>
    </rPh>
    <phoneticPr fontId="2"/>
  </si>
  <si>
    <t>年　　　　　　月　　　　　　日</t>
    <rPh sb="0" eb="1">
      <t>ネン</t>
    </rPh>
    <rPh sb="7" eb="8">
      <t>ガツ</t>
    </rPh>
    <rPh sb="14" eb="15">
      <t>ヒ</t>
    </rPh>
    <phoneticPr fontId="2"/>
  </si>
  <si>
    <t>据置期間　　　　　　　　　　　　　　月</t>
    <rPh sb="0" eb="2">
      <t>スエオキ</t>
    </rPh>
    <rPh sb="2" eb="4">
      <t>キカン</t>
    </rPh>
    <rPh sb="18" eb="19">
      <t>ツキ</t>
    </rPh>
    <phoneticPr fontId="2"/>
  </si>
  <si>
    <t>年月日
申　込</t>
    <rPh sb="0" eb="3">
      <t>ネンガッピ</t>
    </rPh>
    <rPh sb="4" eb="5">
      <t>サル</t>
    </rPh>
    <rPh sb="6" eb="7">
      <t>コミ</t>
    </rPh>
    <phoneticPr fontId="2"/>
  </si>
  <si>
    <t>期間
据置</t>
    <rPh sb="0" eb="2">
      <t>キカン</t>
    </rPh>
    <rPh sb="3" eb="4">
      <t>ス</t>
    </rPh>
    <rPh sb="4" eb="5">
      <t>オ</t>
    </rPh>
    <phoneticPr fontId="2"/>
  </si>
  <si>
    <t>令和　　　　年　　　　月　　　　日</t>
    <rPh sb="0" eb="1">
      <t>レイ</t>
    </rPh>
    <rPh sb="1" eb="2">
      <t>ワ</t>
    </rPh>
    <rPh sb="6" eb="7">
      <t>ネン</t>
    </rPh>
    <rPh sb="11" eb="12">
      <t>ツキ</t>
    </rPh>
    <rPh sb="16" eb="17">
      <t>ヒ</t>
    </rPh>
    <phoneticPr fontId="2"/>
  </si>
  <si>
    <t>　　　　　　　　　　　　　月　</t>
    <rPh sb="13" eb="14">
      <t>ツキ</t>
    </rPh>
    <phoneticPr fontId="2"/>
  </si>
  <si>
    <t>(一回当たりの弁済額)</t>
    <rPh sb="1" eb="3">
      <t>イッカイ</t>
    </rPh>
    <rPh sb="3" eb="4">
      <t>ア</t>
    </rPh>
    <rPh sb="7" eb="9">
      <t>ベンサイ</t>
    </rPh>
    <rPh sb="9" eb="10">
      <t>ガク</t>
    </rPh>
    <phoneticPr fontId="2"/>
  </si>
  <si>
    <t>歳　　</t>
    <rPh sb="0" eb="1">
      <t>サイ</t>
    </rPh>
    <phoneticPr fontId="2"/>
  </si>
  <si>
    <t>　　　　　　　　　　　　　　　　　　</t>
  </si>
  <si>
    <t>不　承　認</t>
    <rPh sb="0" eb="1">
      <t>フ</t>
    </rPh>
    <rPh sb="2" eb="3">
      <t>ショウ</t>
    </rPh>
    <rPh sb="4" eb="5">
      <t>シノブ</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</si>
</sst>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quot;△ &quot;#,##0"/>
    <numFmt numFmtId="177" formatCode="&quot;第&quot;#,###&quot;回&quot;"/>
    <numFmt numFmtId="178" formatCode="#,###&quot;円&quot;"/>
    <numFmt numFmtId="179" formatCode="0&quot;月&quot;"/>
    <numFmt numFmtId="180" formatCode="0.0000%"/>
    <numFmt numFmtId="181" formatCode="#,###&quot;回&quot;"/>
    <numFmt numFmtId="182" formatCode="#,##0&quot;回&quot;"/>
    <numFmt numFmtId="183" formatCode="#,##0_);[Red]\(#,##0\)"/>
    <numFmt numFmtId="184" formatCode="#,##0.0;[Red]\-#,##0.0"/>
    <numFmt numFmtId="185" formatCode="#,##0_ ;[Red]\-#,##0\ "/>
    <numFmt numFmtId="186" formatCode="#,###.0&quot;円&quot;"/>
  </numFmts>
  <fonts count="24">
    <font>
      <sz val="11"/>
      <color theme="1"/>
      <name val="ＭＳ Ｐゴシック"/>
      <family val="3"/>
      <scheme val="minor"/>
    </font>
    <font>
      <sz val="11"/>
      <color auto="1"/>
      <name val="ＭＳ Ｐゴシック"/>
      <family val="3"/>
    </font>
    <font>
      <sz val="6"/>
      <color auto="1"/>
      <name val="ＭＳ Ｐゴシック"/>
      <family val="3"/>
      <scheme val="minor"/>
    </font>
    <font>
      <b/>
      <sz val="11"/>
      <color theme="1"/>
      <name val="ＭＳ Ｐゴシック"/>
      <family val="3"/>
      <scheme val="minor"/>
    </font>
    <font>
      <sz val="9"/>
      <color theme="1"/>
      <name val="ＭＳ Ｐゴシック"/>
      <family val="3"/>
      <scheme val="minor"/>
    </font>
    <font>
      <sz val="12"/>
      <color theme="1"/>
      <name val="ＭＳ Ｐゴシック"/>
      <family val="3"/>
      <scheme val="minor"/>
    </font>
    <font>
      <sz val="10"/>
      <color theme="1"/>
      <name val="ＭＳ Ｐゴシック"/>
      <family val="3"/>
      <scheme val="minor"/>
    </font>
    <font>
      <sz val="8"/>
      <color theme="1"/>
      <name val="ＭＳ Ｐゴシック"/>
      <family val="3"/>
      <scheme val="minor"/>
    </font>
    <font>
      <sz val="6"/>
      <color theme="1"/>
      <name val="ＭＳ Ｐゴシック"/>
      <family val="2"/>
      <scheme val="minor"/>
    </font>
    <font>
      <sz val="8"/>
      <color theme="1"/>
      <name val="ＭＳ ゴシック"/>
      <family val="3"/>
    </font>
    <font>
      <sz val="11"/>
      <color auto="1"/>
      <name val="ＭＳ Ｐ明朝"/>
      <family val="1"/>
    </font>
    <font>
      <sz val="12"/>
      <color auto="1"/>
      <name val="ＭＳ Ｐ明朝"/>
      <family val="1"/>
    </font>
    <font>
      <sz val="12"/>
      <color auto="1"/>
      <name val="HGSｺﾞｼｯｸE"/>
      <family val="3"/>
    </font>
    <font>
      <sz val="14"/>
      <color auto="1"/>
      <name val="ＭＳ 明朝"/>
      <family val="1"/>
    </font>
    <font>
      <sz val="12"/>
      <color auto="1"/>
      <name val="ＭＳ 明朝"/>
      <family val="1"/>
    </font>
    <font>
      <sz val="11"/>
      <color auto="1"/>
      <name val="ＭＳ 明朝"/>
      <family val="1"/>
    </font>
    <font>
      <sz val="11"/>
      <color indexed="10"/>
      <name val="ＭＳ Ｐ明朝"/>
      <family val="1"/>
    </font>
    <font>
      <sz val="11"/>
      <color indexed="9"/>
      <name val="ＭＳ Ｐ明朝"/>
      <family val="1"/>
    </font>
    <font>
      <b/>
      <sz val="14"/>
      <color auto="1"/>
      <name val="ＭＳ Ｐ明朝"/>
      <family val="1"/>
    </font>
    <font>
      <b/>
      <sz val="16"/>
      <color auto="1"/>
      <name val="ＭＳ Ｐゴシック"/>
      <family val="3"/>
    </font>
    <font>
      <sz val="16"/>
      <color auto="1"/>
      <name val="ＭＳ Ｐゴシック"/>
      <family val="3"/>
    </font>
    <font>
      <b/>
      <sz val="11"/>
      <color auto="1"/>
      <name val="ＭＳ Ｐゴシック"/>
      <family val="3"/>
    </font>
    <font>
      <sz val="9"/>
      <color auto="1"/>
      <name val="ＭＳ Ｐゴシック"/>
      <family val="3"/>
    </font>
    <font>
      <sz val="8"/>
      <color auto="1"/>
      <name val="ＭＳ Ｐゴシック"/>
      <family val="3"/>
    </font>
  </fonts>
  <fills count="5">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41"/>
        <bgColor indexed="64"/>
      </patternFill>
    </fill>
  </fills>
  <borders count="11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style="thick">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bottom style="thick">
        <color auto="1"/>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style="thin">
        <color indexed="64"/>
      </left>
      <right style="dashed">
        <color indexed="64"/>
      </right>
      <top style="dashed">
        <color indexed="64"/>
      </top>
      <bottom style="thick">
        <color auto="1"/>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right/>
      <top style="dashed">
        <color indexed="64"/>
      </top>
      <bottom/>
      <diagonal/>
    </border>
    <border>
      <left style="dashed">
        <color indexed="64"/>
      </left>
      <right style="dashed">
        <color indexed="64"/>
      </right>
      <top style="dashed">
        <color indexed="64"/>
      </top>
      <bottom style="thick">
        <color auto="1"/>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thin">
        <color indexed="64"/>
      </bottom>
      <diagonal/>
    </border>
    <border>
      <left/>
      <right style="thick">
        <color auto="1"/>
      </right>
      <top style="thick">
        <color auto="1"/>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dashed">
        <color indexed="64"/>
      </left>
      <right style="thick">
        <color auto="1"/>
      </right>
      <top style="thin">
        <color indexed="64"/>
      </top>
      <bottom style="dashed">
        <color indexed="64"/>
      </bottom>
      <diagonal/>
    </border>
    <border>
      <left style="dashed">
        <color indexed="64"/>
      </left>
      <right style="thick">
        <color auto="1"/>
      </right>
      <top style="dashed">
        <color indexed="64"/>
      </top>
      <bottom style="dashed">
        <color indexed="64"/>
      </bottom>
      <diagonal/>
    </border>
    <border>
      <left/>
      <right style="thick">
        <color auto="1"/>
      </right>
      <top style="dashed">
        <color indexed="64"/>
      </top>
      <bottom/>
      <diagonal/>
    </border>
    <border>
      <left style="dashed">
        <color indexed="64"/>
      </left>
      <right style="thick">
        <color auto="1"/>
      </right>
      <top style="dashed">
        <color indexed="64"/>
      </top>
      <bottom style="thick">
        <color auto="1"/>
      </bottom>
      <diagonal/>
    </border>
    <border>
      <left style="medium">
        <color indexed="64"/>
      </left>
      <right/>
      <top/>
      <bottom style="medium">
        <color indexed="64"/>
      </bottom>
      <diagonal/>
    </border>
    <border>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cellStyleXfs>
  <cellXfs count="622">
    <xf numFmtId="0" fontId="0" fillId="0" borderId="0" xfId="0">
      <alignment vertical="center"/>
    </xf>
    <xf numFmtId="0" fontId="0" fillId="0" borderId="0" xfId="0" applyAlignment="1">
      <alignment vertical="center"/>
    </xf>
    <xf numFmtId="0" fontId="0" fillId="0" borderId="0" xfId="0" applyAlignment="1">
      <alignment vertical="top"/>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pplyBorder="1" applyAlignment="1">
      <alignment horizontal="left"/>
    </xf>
    <xf numFmtId="0" fontId="0" fillId="0" borderId="1"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0" xfId="0" applyFont="1">
      <alignment vertical="center"/>
    </xf>
    <xf numFmtId="0" fontId="5"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top" wrapText="1"/>
    </xf>
    <xf numFmtId="0" fontId="0" fillId="0" borderId="11" xfId="0" applyBorder="1" applyAlignment="1">
      <alignment vertical="center"/>
    </xf>
    <xf numFmtId="0" fontId="0" fillId="0" borderId="11" xfId="0" applyBorder="1" applyAlignment="1">
      <alignment vertical="top"/>
    </xf>
    <xf numFmtId="0" fontId="0" fillId="0" borderId="11" xfId="0" applyBorder="1">
      <alignment vertical="center"/>
    </xf>
    <xf numFmtId="0" fontId="0" fillId="0" borderId="12" xfId="0" applyBorder="1">
      <alignment vertical="center"/>
    </xf>
    <xf numFmtId="0" fontId="0" fillId="0" borderId="0" xfId="0" applyBorder="1" applyAlignment="1">
      <alignment horizontal="left"/>
    </xf>
    <xf numFmtId="0" fontId="0" fillId="0" borderId="13" xfId="0" applyBorder="1" applyAlignment="1">
      <alignment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6" xfId="0" applyFont="1" applyBorder="1" applyAlignment="1">
      <alignment horizontal="center" vertical="center" wrapText="1"/>
    </xf>
    <xf numFmtId="0" fontId="0" fillId="0" borderId="19" xfId="0" applyBorder="1" applyAlignment="1">
      <alignment horizontal="center" vertical="center"/>
    </xf>
    <xf numFmtId="0" fontId="0" fillId="0" borderId="16" xfId="0" applyBorder="1" applyAlignment="1">
      <alignment horizontal="center" vertical="center" wrapText="1"/>
    </xf>
    <xf numFmtId="0" fontId="0" fillId="0" borderId="20" xfId="0" applyBorder="1" applyAlignment="1">
      <alignment horizontal="center" vertical="center"/>
    </xf>
    <xf numFmtId="0" fontId="4" fillId="0" borderId="9" xfId="0" applyFont="1" applyBorder="1" applyAlignment="1">
      <alignment horizontal="center" vertical="center" textRotation="255"/>
    </xf>
    <xf numFmtId="0" fontId="4" fillId="0" borderId="21" xfId="0" applyFont="1" applyBorder="1" applyAlignment="1">
      <alignment horizontal="center" vertical="center" textRotation="255"/>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5" fillId="0" borderId="22"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0" fillId="0" borderId="23" xfId="0" applyBorder="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8" xfId="0" applyBorder="1" applyAlignment="1">
      <alignment vertical="center"/>
    </xf>
    <xf numFmtId="0" fontId="0" fillId="0" borderId="19" xfId="0" applyBorder="1" applyAlignment="1">
      <alignment horizontal="left" vertical="center"/>
    </xf>
    <xf numFmtId="0" fontId="0" fillId="0" borderId="29"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30" xfId="0" applyBorder="1" applyAlignment="1">
      <alignment horizontal="center" vertical="center" wrapText="1"/>
    </xf>
    <xf numFmtId="0" fontId="0" fillId="0" borderId="31" xfId="0" applyBorder="1" applyAlignment="1">
      <alignment horizontal="righ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vertical="center"/>
    </xf>
    <xf numFmtId="0" fontId="0" fillId="0" borderId="32" xfId="0" applyBorder="1" applyAlignment="1">
      <alignment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26" xfId="0" applyBorder="1" applyAlignment="1">
      <alignment horizontal="right" vertical="center"/>
    </xf>
    <xf numFmtId="0" fontId="0" fillId="0" borderId="24" xfId="0" applyBorder="1" applyAlignment="1">
      <alignment vertical="center"/>
    </xf>
    <xf numFmtId="0" fontId="0" fillId="0" borderId="26" xfId="0" applyBorder="1" applyAlignment="1">
      <alignment vertical="center"/>
    </xf>
    <xf numFmtId="0" fontId="0" fillId="0" borderId="33" xfId="0" applyBorder="1" applyAlignment="1">
      <alignment vertical="center"/>
    </xf>
    <xf numFmtId="0" fontId="0" fillId="0" borderId="33" xfId="0" applyBorder="1" applyAlignment="1">
      <alignment vertical="center" wrapText="1"/>
    </xf>
    <xf numFmtId="0" fontId="0" fillId="0" borderId="14" xfId="0"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right" vertical="center"/>
    </xf>
    <xf numFmtId="0" fontId="0" fillId="0" borderId="34" xfId="0" applyBorder="1" applyAlignment="1">
      <alignment vertical="center"/>
    </xf>
    <xf numFmtId="0" fontId="0" fillId="0" borderId="35" xfId="0" applyBorder="1" applyAlignment="1">
      <alignment horizontal="right" vertical="center"/>
    </xf>
    <xf numFmtId="0" fontId="0" fillId="0" borderId="33" xfId="0" applyBorder="1" applyAlignment="1">
      <alignment horizontal="center" vertical="center"/>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16" xfId="0" applyBorder="1" applyAlignment="1">
      <alignment horizontal="left" vertical="center" wrapText="1"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32" xfId="0" applyBorder="1" applyAlignment="1">
      <alignment vertical="center" textRotation="255" wrapText="1"/>
    </xf>
    <xf numFmtId="0" fontId="0" fillId="0" borderId="29"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29" xfId="0" applyBorder="1" applyAlignment="1">
      <alignment vertical="center" textRotation="255" wrapText="1"/>
    </xf>
    <xf numFmtId="0" fontId="0" fillId="0" borderId="9" xfId="0" applyBorder="1" applyAlignment="1">
      <alignment vertical="center" textRotation="255" wrapText="1"/>
    </xf>
    <xf numFmtId="0" fontId="0" fillId="0" borderId="15" xfId="0" applyBorder="1" applyAlignment="1">
      <alignment horizontal="left" vertical="center"/>
    </xf>
    <xf numFmtId="0" fontId="0" fillId="0" borderId="37" xfId="0" applyBorder="1" applyAlignment="1">
      <alignment vertical="center"/>
    </xf>
    <xf numFmtId="0" fontId="0" fillId="0" borderId="38" xfId="0" applyBorder="1" applyAlignment="1">
      <alignment horizontal="righ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left" vertical="center" indent="1"/>
    </xf>
    <xf numFmtId="0" fontId="0" fillId="0" borderId="0" xfId="0" applyBorder="1" applyAlignment="1">
      <alignment horizontal="left" vertical="center" indent="1"/>
    </xf>
    <xf numFmtId="0" fontId="0" fillId="0" borderId="15" xfId="0" applyBorder="1" applyAlignment="1">
      <alignment horizontal="left" vertical="center" indent="1"/>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16" xfId="0" applyBorder="1" applyAlignment="1">
      <alignment horizontal="center" wrapText="1"/>
    </xf>
    <xf numFmtId="0" fontId="0" fillId="0" borderId="18" xfId="0" applyBorder="1" applyAlignment="1">
      <alignment horizontal="center" vertical="top" wrapText="1"/>
    </xf>
    <xf numFmtId="0" fontId="0" fillId="0" borderId="16" xfId="0" applyBorder="1" applyAlignment="1">
      <alignment horizontal="right" wrapText="1" indent="3"/>
    </xf>
    <xf numFmtId="0" fontId="0" fillId="0" borderId="18" xfId="0" applyFont="1" applyBorder="1" applyAlignment="1">
      <alignment horizontal="right" wrapText="1"/>
    </xf>
    <xf numFmtId="0" fontId="0" fillId="0" borderId="33" xfId="0" applyBorder="1" applyAlignment="1">
      <alignment horizontal="right" vertical="center" inden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0" fillId="0" borderId="24" xfId="0" applyBorder="1" applyAlignment="1">
      <alignment horizontal="left" vertical="center" indent="1"/>
    </xf>
    <xf numFmtId="0" fontId="0" fillId="0" borderId="25" xfId="0" applyBorder="1" applyAlignment="1">
      <alignment horizontal="left" vertical="center" indent="1"/>
    </xf>
    <xf numFmtId="0" fontId="0" fillId="0" borderId="26" xfId="0" applyBorder="1" applyAlignment="1">
      <alignment horizontal="left" vertical="center" indent="1"/>
    </xf>
    <xf numFmtId="0" fontId="0" fillId="0" borderId="13" xfId="0"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vertical="top" wrapText="1"/>
    </xf>
    <xf numFmtId="0" fontId="0" fillId="0" borderId="14" xfId="0" applyBorder="1" applyAlignment="1">
      <alignment horizontal="right" indent="3"/>
    </xf>
    <xf numFmtId="0" fontId="0" fillId="0" borderId="15" xfId="0" applyBorder="1" applyAlignment="1">
      <alignment horizontal="right"/>
    </xf>
    <xf numFmtId="0" fontId="4" fillId="0" borderId="40" xfId="0" applyFont="1" applyBorder="1" applyAlignment="1">
      <alignment horizontal="left" vertical="center" wrapText="1"/>
    </xf>
    <xf numFmtId="0" fontId="0" fillId="0" borderId="36" xfId="0" applyFont="1" applyBorder="1" applyAlignment="1">
      <alignment horizontal="left" vertical="center"/>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4" xfId="0" applyBorder="1" applyAlignment="1">
      <alignment horizontal="right" vertical="center"/>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41" xfId="0" applyBorder="1" applyAlignment="1">
      <alignment horizontal="center" vertical="center"/>
    </xf>
    <xf numFmtId="0" fontId="0" fillId="0" borderId="42" xfId="0" applyBorder="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top" wrapText="1"/>
    </xf>
    <xf numFmtId="0" fontId="0" fillId="0" borderId="42" xfId="0" applyBorder="1" applyAlignment="1">
      <alignment horizontal="right" indent="3"/>
    </xf>
    <xf numFmtId="0" fontId="0" fillId="0" borderId="44" xfId="0" applyBorder="1" applyAlignment="1">
      <alignment horizontal="right"/>
    </xf>
    <xf numFmtId="0" fontId="0" fillId="0" borderId="45" xfId="0" applyBorder="1" applyAlignment="1">
      <alignment vertical="center"/>
    </xf>
    <xf numFmtId="0" fontId="0" fillId="0" borderId="45" xfId="0" applyBorder="1" applyAlignment="1">
      <alignment horizontal="right" vertical="center" indent="1"/>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center" vertical="center"/>
    </xf>
    <xf numFmtId="0" fontId="0" fillId="0" borderId="46" xfId="0" applyFont="1" applyBorder="1" applyAlignment="1">
      <alignment horizontal="left" vertical="center"/>
    </xf>
    <xf numFmtId="0" fontId="0" fillId="0" borderId="24"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5" fillId="0" borderId="47" xfId="0" applyFont="1" applyBorder="1" applyAlignment="1">
      <alignment horizontal="center" vertical="center" wrapText="1"/>
    </xf>
    <xf numFmtId="0" fontId="6" fillId="0" borderId="48" xfId="0" applyFont="1" applyBorder="1" applyAlignment="1">
      <alignment horizontal="left" vertical="center" wrapText="1"/>
    </xf>
    <xf numFmtId="0" fontId="6" fillId="0" borderId="48" xfId="0" applyFont="1" applyBorder="1" applyAlignment="1">
      <alignment horizontal="left" vertical="top" wrapText="1"/>
    </xf>
    <xf numFmtId="0" fontId="0" fillId="0" borderId="48" xfId="0" applyBorder="1" applyAlignment="1">
      <alignment vertical="center"/>
    </xf>
    <xf numFmtId="0" fontId="0" fillId="0" borderId="48" xfId="0" applyBorder="1" applyAlignment="1">
      <alignment vertical="top"/>
    </xf>
    <xf numFmtId="0" fontId="0" fillId="0" borderId="48" xfId="0" applyBorder="1">
      <alignment vertical="center"/>
    </xf>
    <xf numFmtId="0" fontId="0" fillId="0" borderId="49" xfId="0" applyBorder="1" applyAlignment="1">
      <alignment vertical="center"/>
    </xf>
    <xf numFmtId="0" fontId="0" fillId="0" borderId="0" xfId="0" applyBorder="1" applyAlignment="1">
      <alignment vertical="center"/>
    </xf>
    <xf numFmtId="0" fontId="3" fillId="0" borderId="0" xfId="0" applyFont="1" applyAlignment="1"/>
    <xf numFmtId="0" fontId="6" fillId="0" borderId="50" xfId="0" applyFont="1" applyBorder="1" applyAlignment="1">
      <alignment horizontal="left" vertical="center" wrapText="1" indent="1"/>
    </xf>
    <xf numFmtId="0" fontId="6" fillId="0" borderId="51" xfId="0" applyFont="1" applyBorder="1" applyAlignment="1">
      <alignment horizontal="left" vertical="center" wrapText="1" indent="1"/>
    </xf>
    <xf numFmtId="0" fontId="0" fillId="0" borderId="51" xfId="0" applyBorder="1" applyAlignment="1">
      <alignment horizontal="left" vertical="center" indent="1"/>
    </xf>
    <xf numFmtId="0" fontId="0" fillId="0" borderId="52" xfId="0" applyBorder="1" applyAlignment="1">
      <alignment horizontal="left" vertical="center" indent="1"/>
    </xf>
    <xf numFmtId="0" fontId="6" fillId="0" borderId="53"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wrapText="1"/>
    </xf>
    <xf numFmtId="0" fontId="0" fillId="0" borderId="51" xfId="0" applyBorder="1" applyAlignment="1">
      <alignment horizontal="center" vertical="center"/>
    </xf>
    <xf numFmtId="0" fontId="4" fillId="0" borderId="51" xfId="0" applyFont="1" applyBorder="1" applyAlignment="1">
      <alignment horizontal="center"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6" fillId="0" borderId="53" xfId="0" applyFont="1" applyBorder="1" applyAlignment="1">
      <alignment horizontal="center" vertical="center" textRotation="255"/>
    </xf>
    <xf numFmtId="0" fontId="6" fillId="0" borderId="51" xfId="0" applyFont="1" applyBorder="1" applyAlignment="1">
      <alignment horizontal="center" vertical="center" textRotation="255"/>
    </xf>
    <xf numFmtId="0" fontId="6" fillId="0" borderId="5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55" xfId="0" applyFont="1" applyBorder="1" applyAlignment="1">
      <alignment horizontal="left" vertical="center" wrapText="1" indent="1"/>
    </xf>
    <xf numFmtId="0" fontId="6" fillId="0" borderId="0" xfId="0" applyFont="1" applyBorder="1" applyAlignment="1">
      <alignment horizontal="left" vertical="center" wrapText="1" indent="1"/>
    </xf>
    <xf numFmtId="0" fontId="0" fillId="0" borderId="0" xfId="0" applyAlignment="1">
      <alignment horizontal="left" vertical="center" indent="1"/>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56"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18" xfId="0"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0" borderId="57" xfId="0" applyFont="1" applyBorder="1" applyAlignment="1">
      <alignment horizontal="center" vertical="center"/>
    </xf>
    <xf numFmtId="0" fontId="6" fillId="0" borderId="16" xfId="0" applyFont="1" applyBorder="1" applyAlignment="1">
      <alignment horizontal="center" vertical="center" textRotation="255"/>
    </xf>
    <xf numFmtId="0" fontId="8" fillId="0" borderId="16" xfId="0" applyFont="1" applyBorder="1" applyAlignment="1">
      <alignment horizontal="center" vertical="center" textRotation="255" wrapText="1"/>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6" fillId="0" borderId="1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Border="1" applyAlignment="1">
      <alignment horizontal="right" vertical="center"/>
    </xf>
    <xf numFmtId="0" fontId="6" fillId="0" borderId="15" xfId="0" applyFont="1" applyBorder="1" applyAlignment="1">
      <alignment horizontal="right" vertical="center"/>
    </xf>
    <xf numFmtId="0" fontId="6" fillId="0" borderId="58" xfId="0" applyFont="1" applyBorder="1" applyAlignment="1">
      <alignment horizontal="center" vertical="center"/>
    </xf>
    <xf numFmtId="0" fontId="8" fillId="0" borderId="24"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26" xfId="0" applyFont="1" applyBorder="1" applyAlignment="1">
      <alignment horizontal="center" vertical="center" textRotation="255"/>
    </xf>
    <xf numFmtId="0" fontId="0" fillId="0" borderId="55" xfId="0" applyBorder="1" applyAlignment="1">
      <alignment horizontal="left" vertical="center" inden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6"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6" xfId="0" applyFont="1" applyBorder="1" applyAlignment="1">
      <alignment vertical="center" wrapText="1"/>
    </xf>
    <xf numFmtId="0" fontId="6" fillId="0" borderId="19" xfId="0" applyFont="1" applyBorder="1" applyAlignment="1">
      <alignment horizontal="left" vertical="center" wrapText="1"/>
    </xf>
    <xf numFmtId="0" fontId="6" fillId="0" borderId="16" xfId="0" applyFont="1" applyBorder="1" applyAlignment="1">
      <alignment horizontal="left" vertical="center" wrapText="1" indent="1"/>
    </xf>
    <xf numFmtId="0" fontId="0" fillId="0" borderId="18" xfId="0" applyBorder="1" applyAlignment="1">
      <alignment horizontal="left" vertical="center" wrapText="1" indent="1"/>
    </xf>
    <xf numFmtId="0" fontId="6" fillId="0" borderId="17" xfId="0" applyFont="1" applyBorder="1" applyAlignment="1">
      <alignment horizontal="left" vertical="center" wrapText="1" indent="1"/>
    </xf>
    <xf numFmtId="0" fontId="6" fillId="0" borderId="0" xfId="0" applyFont="1" applyBorder="1" applyAlignment="1">
      <alignment vertical="center"/>
    </xf>
    <xf numFmtId="0" fontId="6" fillId="0" borderId="15" xfId="0" applyFont="1" applyBorder="1" applyAlignment="1">
      <alignment vertical="center"/>
    </xf>
    <xf numFmtId="0" fontId="6" fillId="0" borderId="59"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14" xfId="0" applyFont="1" applyBorder="1" applyAlignment="1">
      <alignment vertical="center"/>
    </xf>
    <xf numFmtId="0" fontId="0" fillId="0" borderId="33" xfId="0" applyBorder="1" applyAlignment="1">
      <alignment horizontal="left" vertical="center"/>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6" fillId="0" borderId="60" xfId="0" applyFont="1" applyBorder="1" applyAlignment="1">
      <alignment horizontal="center" vertical="center"/>
    </xf>
    <xf numFmtId="0" fontId="0" fillId="0" borderId="55" xfId="0" applyBorder="1" applyAlignment="1">
      <alignment vertical="center"/>
    </xf>
    <xf numFmtId="0" fontId="0" fillId="0" borderId="15" xfId="0" applyBorder="1" applyAlignment="1">
      <alignment vertical="center"/>
    </xf>
    <xf numFmtId="0" fontId="6" fillId="0" borderId="19" xfId="0" applyFont="1"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25" xfId="0" applyBorder="1" applyAlignment="1">
      <alignment vertical="center"/>
    </xf>
    <xf numFmtId="0" fontId="6" fillId="0" borderId="0" xfId="0" applyFont="1" applyAlignment="1">
      <alignment horizontal="center" vertical="center"/>
    </xf>
    <xf numFmtId="0" fontId="0" fillId="0" borderId="62" xfId="0"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0" fillId="0" borderId="17" xfId="0" applyBorder="1" applyAlignment="1">
      <alignment vertical="center"/>
    </xf>
    <xf numFmtId="0" fontId="6" fillId="0" borderId="63" xfId="0" applyFont="1" applyBorder="1" applyAlignment="1">
      <alignment vertical="center" textRotation="255" wrapText="1"/>
    </xf>
    <xf numFmtId="0" fontId="6" fillId="0" borderId="17" xfId="0" applyFont="1" applyBorder="1" applyAlignment="1">
      <alignment vertical="center" textRotation="255"/>
    </xf>
    <xf numFmtId="0" fontId="6" fillId="0" borderId="18" xfId="0" applyFont="1" applyBorder="1" applyAlignment="1">
      <alignment vertical="center" textRotation="255"/>
    </xf>
    <xf numFmtId="0" fontId="6" fillId="0" borderId="16" xfId="0" applyFont="1" applyBorder="1" applyAlignment="1">
      <alignment vertical="center" textRotation="255" wrapText="1"/>
    </xf>
    <xf numFmtId="0" fontId="0" fillId="0" borderId="14" xfId="0" applyBorder="1" applyAlignment="1">
      <alignment vertical="center"/>
    </xf>
    <xf numFmtId="0" fontId="0" fillId="0" borderId="58" xfId="0" applyBorder="1" applyAlignment="1">
      <alignment horizontal="center" vertical="center"/>
    </xf>
    <xf numFmtId="0" fontId="6" fillId="0" borderId="55" xfId="0" applyFont="1" applyBorder="1" applyAlignment="1">
      <alignment vertical="center" textRotation="255" wrapText="1"/>
    </xf>
    <xf numFmtId="0" fontId="6" fillId="0" borderId="0" xfId="0" applyFont="1" applyBorder="1" applyAlignment="1">
      <alignment vertical="center" textRotation="255"/>
    </xf>
    <xf numFmtId="0" fontId="6" fillId="0" borderId="15" xfId="0" applyFont="1" applyBorder="1" applyAlignment="1">
      <alignment vertical="center" textRotation="255"/>
    </xf>
    <xf numFmtId="0" fontId="6" fillId="0" borderId="14" xfId="0" applyFont="1" applyBorder="1" applyAlignment="1">
      <alignment vertical="center" textRotation="255" wrapText="1"/>
    </xf>
    <xf numFmtId="0" fontId="6" fillId="0" borderId="14" xfId="0" applyFont="1" applyBorder="1" applyAlignment="1">
      <alignment horizontal="right" vertical="center"/>
    </xf>
    <xf numFmtId="0" fontId="0" fillId="0" borderId="0" xfId="0" applyAlignment="1">
      <alignment horizontal="right" vertical="center"/>
    </xf>
    <xf numFmtId="0" fontId="6" fillId="0" borderId="62" xfId="0" applyFont="1" applyBorder="1" applyAlignment="1">
      <alignment vertical="center" textRotation="255"/>
    </xf>
    <xf numFmtId="0" fontId="6" fillId="0" borderId="25" xfId="0" applyFont="1" applyBorder="1" applyAlignment="1">
      <alignment vertical="center" textRotation="255"/>
    </xf>
    <xf numFmtId="0" fontId="6" fillId="0" borderId="26" xfId="0" applyFont="1" applyBorder="1" applyAlignment="1">
      <alignment vertical="center" textRotation="255"/>
    </xf>
    <xf numFmtId="0" fontId="6" fillId="0" borderId="24" xfId="0" applyFont="1" applyBorder="1" applyAlignment="1">
      <alignment vertical="center" textRotation="255"/>
    </xf>
    <xf numFmtId="0" fontId="6" fillId="0" borderId="33" xfId="0" applyFont="1" applyBorder="1" applyAlignment="1">
      <alignment horizontal="center" vertical="center" wrapText="1"/>
    </xf>
    <xf numFmtId="0" fontId="6" fillId="0" borderId="33" xfId="0" applyFont="1" applyBorder="1" applyAlignment="1">
      <alignment horizontal="left" vertical="center" wrapText="1"/>
    </xf>
    <xf numFmtId="0" fontId="6" fillId="0" borderId="63" xfId="0" applyFont="1" applyBorder="1" applyAlignment="1">
      <alignment vertical="center"/>
    </xf>
    <xf numFmtId="0" fontId="6" fillId="0" borderId="16" xfId="0" applyFont="1" applyBorder="1" applyAlignment="1">
      <alignment horizontal="right" vertical="center" wrapText="1" indent="1"/>
    </xf>
    <xf numFmtId="0" fontId="6" fillId="0" borderId="17" xfId="0" applyFont="1" applyBorder="1" applyAlignment="1">
      <alignment horizontal="right" vertical="center" indent="1"/>
    </xf>
    <xf numFmtId="0" fontId="6" fillId="0" borderId="18" xfId="0" applyFont="1" applyBorder="1" applyAlignment="1">
      <alignment horizontal="right" vertical="center" indent="1"/>
    </xf>
    <xf numFmtId="0" fontId="4" fillId="0" borderId="40" xfId="0" applyFont="1" applyBorder="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xf>
    <xf numFmtId="0" fontId="6" fillId="0" borderId="55" xfId="0" applyFont="1" applyBorder="1" applyAlignment="1">
      <alignment vertical="center"/>
    </xf>
    <xf numFmtId="0" fontId="6" fillId="0" borderId="14" xfId="0" applyFont="1" applyBorder="1" applyAlignment="1">
      <alignment horizontal="right" vertical="center" indent="1"/>
    </xf>
    <xf numFmtId="0" fontId="6" fillId="0" borderId="0" xfId="0" applyFont="1" applyBorder="1" applyAlignment="1">
      <alignment horizontal="right" vertical="center" indent="1"/>
    </xf>
    <xf numFmtId="0" fontId="6" fillId="0" borderId="15" xfId="0" applyFont="1" applyBorder="1" applyAlignment="1">
      <alignment horizontal="right" vertical="center" indent="1"/>
    </xf>
    <xf numFmtId="0" fontId="6" fillId="0" borderId="33" xfId="0" applyFont="1" applyBorder="1" applyAlignment="1">
      <alignment horizontal="right" vertical="center"/>
    </xf>
    <xf numFmtId="0" fontId="6" fillId="0" borderId="29"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64" xfId="0" applyFont="1" applyBorder="1" applyAlignment="1">
      <alignment horizontal="center" vertical="center" textRotation="255"/>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72" xfId="0" applyFont="1" applyBorder="1" applyAlignment="1">
      <alignment horizontal="center"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4" fillId="0" borderId="33" xfId="0" applyFont="1" applyBorder="1" applyAlignment="1">
      <alignment horizontal="right" vertical="center" wrapText="1"/>
    </xf>
    <xf numFmtId="0" fontId="6" fillId="0" borderId="14" xfId="0" applyFont="1" applyBorder="1" applyAlignment="1">
      <alignment horizontal="left" vertical="top"/>
    </xf>
    <xf numFmtId="0" fontId="6" fillId="0" borderId="0" xfId="0" applyFont="1" applyBorder="1" applyAlignment="1">
      <alignment horizontal="left" vertical="top"/>
    </xf>
    <xf numFmtId="0" fontId="6" fillId="0" borderId="15" xfId="0" applyFont="1" applyBorder="1" applyAlignment="1">
      <alignment horizontal="left" vertical="top"/>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6" fillId="0" borderId="69" xfId="0" applyFont="1" applyBorder="1" applyAlignment="1">
      <alignment horizontal="right" vertical="center"/>
    </xf>
    <xf numFmtId="0" fontId="6" fillId="0" borderId="70" xfId="0" applyFont="1" applyBorder="1" applyAlignment="1">
      <alignment horizontal="right" vertical="center"/>
    </xf>
    <xf numFmtId="0" fontId="6" fillId="0" borderId="76" xfId="0" applyFont="1" applyBorder="1" applyAlignment="1">
      <alignment horizontal="right" vertical="center"/>
    </xf>
    <xf numFmtId="0" fontId="6" fillId="0" borderId="77" xfId="0" applyFont="1" applyBorder="1" applyAlignment="1">
      <alignment horizontal="right" vertical="center"/>
    </xf>
    <xf numFmtId="0" fontId="6" fillId="0" borderId="78" xfId="0" applyFont="1" applyBorder="1" applyAlignment="1">
      <alignment horizontal="right" vertical="center"/>
    </xf>
    <xf numFmtId="0" fontId="6" fillId="0" borderId="72" xfId="0" applyFont="1" applyBorder="1" applyAlignment="1">
      <alignment horizontal="right" vertical="center"/>
    </xf>
    <xf numFmtId="0" fontId="6" fillId="0" borderId="71" xfId="0" applyFont="1" applyBorder="1" applyAlignment="1">
      <alignment horizontal="right" vertical="center"/>
    </xf>
    <xf numFmtId="0" fontId="0" fillId="0" borderId="36" xfId="0" applyBorder="1" applyAlignment="1">
      <alignment vertical="center"/>
    </xf>
    <xf numFmtId="0" fontId="6" fillId="0" borderId="79" xfId="0" applyFont="1" applyBorder="1" applyAlignment="1">
      <alignment vertical="center"/>
    </xf>
    <xf numFmtId="0" fontId="6" fillId="0" borderId="80" xfId="0" applyFont="1" applyBorder="1" applyAlignment="1">
      <alignment vertical="center"/>
    </xf>
    <xf numFmtId="0" fontId="6" fillId="0" borderId="81" xfId="0" applyFont="1" applyBorder="1" applyAlignment="1">
      <alignment vertical="center"/>
    </xf>
    <xf numFmtId="0" fontId="6" fillId="0" borderId="82"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right" vertical="center" indent="1"/>
    </xf>
    <xf numFmtId="0" fontId="6" fillId="0" borderId="80" xfId="0" applyFont="1" applyBorder="1" applyAlignment="1">
      <alignment horizontal="right" vertical="center" indent="1"/>
    </xf>
    <xf numFmtId="0" fontId="6" fillId="0" borderId="81" xfId="0" applyFont="1" applyBorder="1" applyAlignment="1">
      <alignment horizontal="right" vertical="center" indent="1"/>
    </xf>
    <xf numFmtId="0" fontId="0" fillId="0" borderId="83" xfId="0" applyBorder="1" applyAlignment="1">
      <alignment horizontal="left" vertical="center"/>
    </xf>
    <xf numFmtId="0" fontId="6" fillId="0" borderId="83" xfId="0" applyFont="1" applyBorder="1" applyAlignment="1">
      <alignment horizontal="right" vertical="center"/>
    </xf>
    <xf numFmtId="0" fontId="6" fillId="0" borderId="82" xfId="0" applyFont="1" applyBorder="1" applyAlignment="1">
      <alignment horizontal="left" vertical="center"/>
    </xf>
    <xf numFmtId="0" fontId="6" fillId="0" borderId="80" xfId="0" applyFont="1"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6" fillId="0" borderId="82" xfId="0" applyFont="1" applyBorder="1" applyAlignment="1">
      <alignment horizontal="right" vertical="center"/>
    </xf>
    <xf numFmtId="0" fontId="6" fillId="0" borderId="80" xfId="0" applyFont="1" applyBorder="1" applyAlignment="1">
      <alignment horizontal="right" vertical="center"/>
    </xf>
    <xf numFmtId="0" fontId="6" fillId="0" borderId="81" xfId="0" applyFont="1" applyBorder="1" applyAlignment="1">
      <alignment horizontal="right" vertical="center"/>
    </xf>
    <xf numFmtId="0" fontId="6" fillId="0" borderId="82"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4" xfId="0" applyFont="1" applyBorder="1" applyAlignment="1">
      <alignment horizontal="right" vertical="center"/>
    </xf>
    <xf numFmtId="0" fontId="6" fillId="0" borderId="85" xfId="0" applyFont="1" applyBorder="1" applyAlignment="1">
      <alignment horizontal="right" vertical="center"/>
    </xf>
    <xf numFmtId="0" fontId="6" fillId="0" borderId="86" xfId="0" applyFont="1" applyBorder="1" applyAlignment="1">
      <alignment horizontal="right" vertical="center"/>
    </xf>
    <xf numFmtId="0" fontId="6" fillId="0" borderId="87" xfId="0" applyFont="1" applyBorder="1" applyAlignment="1">
      <alignment horizontal="right" vertical="center"/>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0" fillId="0" borderId="49" xfId="0" applyBorder="1">
      <alignment vertical="center"/>
    </xf>
    <xf numFmtId="0" fontId="10" fillId="0" borderId="0" xfId="6" applyFont="1" applyFill="1">
      <alignment vertical="center"/>
    </xf>
    <xf numFmtId="0" fontId="11" fillId="0" borderId="0" xfId="6" applyFont="1" applyFill="1" applyAlignment="1">
      <alignment horizontal="center" vertical="center" wrapText="1"/>
    </xf>
    <xf numFmtId="0" fontId="12" fillId="0" borderId="0" xfId="6" applyFont="1" applyFill="1" applyAlignment="1">
      <alignment horizontal="left" vertical="center" wrapText="1"/>
    </xf>
    <xf numFmtId="0" fontId="13" fillId="0" borderId="0" xfId="6" applyFont="1" applyFill="1" applyAlignment="1">
      <alignment horizontal="center" vertical="center"/>
    </xf>
    <xf numFmtId="0" fontId="14" fillId="0" borderId="0" xfId="6" applyFont="1" applyFill="1" applyBorder="1">
      <alignment vertical="center"/>
    </xf>
    <xf numFmtId="0" fontId="14" fillId="0" borderId="0" xfId="6" applyFont="1" applyFill="1">
      <alignment vertical="center"/>
    </xf>
    <xf numFmtId="0" fontId="14" fillId="0" borderId="0" xfId="6" applyFont="1" applyFill="1" applyBorder="1" applyAlignment="1">
      <alignment horizontal="right" vertical="center" wrapText="1"/>
    </xf>
    <xf numFmtId="0" fontId="14" fillId="0" borderId="0" xfId="6" applyFont="1" applyFill="1" applyAlignment="1">
      <alignment vertical="center" wrapText="1"/>
    </xf>
    <xf numFmtId="0" fontId="1" fillId="0" borderId="0" xfId="6" applyFont="1" applyFill="1" applyAlignment="1">
      <alignment vertical="center" wrapText="1"/>
    </xf>
    <xf numFmtId="0" fontId="10" fillId="0" borderId="0" xfId="6" applyFont="1" applyFill="1" applyBorder="1">
      <alignment vertical="center"/>
    </xf>
    <xf numFmtId="0" fontId="14" fillId="0" borderId="0" xfId="6" applyFont="1" applyFill="1" applyBorder="1" applyAlignment="1">
      <alignment vertical="center"/>
    </xf>
    <xf numFmtId="0" fontId="14" fillId="0" borderId="0" xfId="6" applyFont="1" applyFill="1" applyBorder="1" applyAlignment="1">
      <alignment vertical="center" wrapText="1"/>
    </xf>
    <xf numFmtId="0" fontId="1" fillId="0" borderId="0" xfId="6" applyFont="1" applyFill="1" applyBorder="1" applyAlignment="1">
      <alignment vertical="center" wrapText="1"/>
    </xf>
    <xf numFmtId="0" fontId="14" fillId="0" borderId="0" xfId="6" applyFont="1" applyFill="1" applyBorder="1" applyAlignment="1">
      <alignment horizontal="center" vertical="center"/>
    </xf>
    <xf numFmtId="0" fontId="15" fillId="0" borderId="0" xfId="6" applyFont="1" applyFill="1" applyBorder="1" applyAlignment="1">
      <alignment horizontal="right" vertical="center" wrapText="1"/>
    </xf>
    <xf numFmtId="0" fontId="1" fillId="0" borderId="0" xfId="6" applyFont="1" applyFill="1" applyBorder="1" applyAlignment="1">
      <alignment horizontal="right" vertical="center" wrapText="1"/>
    </xf>
    <xf numFmtId="0" fontId="14" fillId="0" borderId="16" xfId="6" applyFont="1" applyFill="1" applyBorder="1" applyAlignment="1">
      <alignment horizontal="center" vertical="center" textRotation="255"/>
    </xf>
    <xf numFmtId="0" fontId="14" fillId="0" borderId="17" xfId="6" applyFont="1" applyFill="1" applyBorder="1" applyAlignment="1">
      <alignment horizontal="center" vertical="center" textRotation="255"/>
    </xf>
    <xf numFmtId="0" fontId="14" fillId="0" borderId="18" xfId="6" applyFont="1" applyFill="1" applyBorder="1" applyAlignment="1">
      <alignment horizontal="center" vertical="center" textRotation="255"/>
    </xf>
    <xf numFmtId="0" fontId="14" fillId="0" borderId="24" xfId="6" applyFont="1" applyFill="1" applyBorder="1" applyAlignment="1">
      <alignment horizontal="center" vertical="center" textRotation="255"/>
    </xf>
    <xf numFmtId="0" fontId="14" fillId="0" borderId="25" xfId="6" applyFont="1" applyFill="1" applyBorder="1" applyAlignment="1">
      <alignment horizontal="center" vertical="center" textRotation="255"/>
    </xf>
    <xf numFmtId="0" fontId="14" fillId="0" borderId="26" xfId="6" applyFont="1" applyFill="1" applyBorder="1" applyAlignment="1">
      <alignment horizontal="center" vertical="center" textRotation="255"/>
    </xf>
    <xf numFmtId="0" fontId="14" fillId="0" borderId="16" xfId="6" applyFont="1" applyFill="1" applyBorder="1" applyAlignment="1">
      <alignment horizontal="center" vertical="center"/>
    </xf>
    <xf numFmtId="0" fontId="14" fillId="0" borderId="18" xfId="6" applyFont="1" applyFill="1" applyBorder="1" applyAlignment="1">
      <alignment horizontal="center" vertical="center"/>
    </xf>
    <xf numFmtId="0" fontId="1" fillId="0" borderId="19" xfId="6" applyFont="1" applyFill="1" applyBorder="1" applyAlignment="1">
      <alignment horizontal="center" vertical="center" wrapText="1"/>
    </xf>
    <xf numFmtId="0" fontId="14" fillId="0" borderId="16" xfId="6" applyFont="1" applyFill="1" applyBorder="1" applyAlignment="1">
      <alignment horizontal="center" vertical="center" wrapText="1"/>
    </xf>
    <xf numFmtId="0" fontId="14" fillId="0" borderId="18" xfId="6" applyFont="1" applyFill="1" applyBorder="1" applyAlignment="1">
      <alignment horizontal="center" vertical="center" wrapText="1"/>
    </xf>
    <xf numFmtId="0" fontId="15" fillId="0" borderId="0" xfId="6" applyFont="1" applyFill="1">
      <alignment vertical="center"/>
    </xf>
    <xf numFmtId="0" fontId="14" fillId="0" borderId="17" xfId="6" applyFont="1" applyFill="1" applyBorder="1" applyAlignment="1">
      <alignment horizontal="center" vertical="center"/>
    </xf>
    <xf numFmtId="0" fontId="14" fillId="0" borderId="16" xfId="6" applyFont="1" applyFill="1" applyBorder="1" applyAlignment="1">
      <alignment horizontal="center" vertical="center" textRotation="255" wrapText="1"/>
    </xf>
    <xf numFmtId="0" fontId="14" fillId="0" borderId="17" xfId="6" applyFont="1" applyFill="1" applyBorder="1" applyAlignment="1">
      <alignment vertical="center" textRotation="255" wrapText="1"/>
    </xf>
    <xf numFmtId="0" fontId="14" fillId="0" borderId="18" xfId="6" applyFont="1" applyFill="1" applyBorder="1" applyAlignment="1">
      <alignment vertical="center" textRotation="255" wrapText="1"/>
    </xf>
    <xf numFmtId="0" fontId="14" fillId="0" borderId="14" xfId="6" applyFont="1" applyFill="1" applyBorder="1" applyAlignment="1">
      <alignment horizontal="center" vertical="center"/>
    </xf>
    <xf numFmtId="0" fontId="14" fillId="0" borderId="15" xfId="6" applyFont="1" applyFill="1" applyBorder="1" applyAlignment="1">
      <alignment horizontal="center" vertical="center"/>
    </xf>
    <xf numFmtId="0" fontId="1" fillId="0" borderId="33" xfId="6" applyFont="1" applyFill="1" applyBorder="1" applyAlignment="1">
      <alignment horizontal="center" vertical="center" wrapText="1"/>
    </xf>
    <xf numFmtId="0" fontId="14" fillId="0" borderId="14" xfId="6" applyFont="1" applyFill="1" applyBorder="1" applyAlignment="1">
      <alignment horizontal="center" vertical="center" wrapText="1"/>
    </xf>
    <xf numFmtId="0" fontId="14" fillId="0" borderId="15" xfId="6" applyFont="1" applyFill="1" applyBorder="1" applyAlignment="1">
      <alignment horizontal="center" vertical="center" wrapText="1"/>
    </xf>
    <xf numFmtId="0" fontId="15" fillId="0" borderId="0" xfId="6" applyFont="1" applyFill="1" applyAlignment="1">
      <alignment vertical="top" wrapText="1"/>
    </xf>
    <xf numFmtId="0" fontId="1" fillId="0" borderId="0" xfId="6" applyFont="1" applyFill="1" applyAlignment="1">
      <alignment vertical="top" wrapText="1"/>
    </xf>
    <xf numFmtId="0" fontId="14" fillId="0" borderId="24" xfId="6" applyFont="1" applyFill="1" applyBorder="1" applyAlignment="1">
      <alignment vertical="center" textRotation="255" wrapText="1"/>
    </xf>
    <xf numFmtId="0" fontId="14" fillId="0" borderId="25" xfId="6" applyFont="1" applyFill="1" applyBorder="1" applyAlignment="1">
      <alignment vertical="center" textRotation="255" wrapText="1"/>
    </xf>
    <xf numFmtId="0" fontId="14" fillId="0" borderId="26" xfId="6" applyFont="1" applyFill="1" applyBorder="1" applyAlignment="1">
      <alignment vertical="center" textRotation="255" wrapText="1"/>
    </xf>
    <xf numFmtId="0" fontId="14" fillId="0" borderId="16" xfId="6" applyFont="1" applyFill="1" applyBorder="1" applyAlignment="1">
      <alignment vertical="center" wrapText="1"/>
    </xf>
    <xf numFmtId="0" fontId="1" fillId="0" borderId="17" xfId="6" applyFont="1" applyFill="1" applyBorder="1" applyAlignment="1">
      <alignment vertical="center" wrapText="1"/>
    </xf>
    <xf numFmtId="0" fontId="1" fillId="0" borderId="18" xfId="6" applyFont="1" applyFill="1" applyBorder="1" applyAlignment="1">
      <alignment vertical="center" wrapText="1"/>
    </xf>
    <xf numFmtId="0" fontId="15" fillId="0" borderId="0" xfId="6" applyFont="1" applyFill="1" applyBorder="1" applyAlignment="1">
      <alignment vertical="center"/>
    </xf>
    <xf numFmtId="0" fontId="14" fillId="0" borderId="15" xfId="6" applyFont="1" applyFill="1" applyBorder="1">
      <alignment vertical="center"/>
    </xf>
    <xf numFmtId="0" fontId="1" fillId="0" borderId="14" xfId="6" applyFont="1" applyFill="1" applyBorder="1" applyAlignment="1">
      <alignment vertical="center" wrapText="1"/>
    </xf>
    <xf numFmtId="0" fontId="1" fillId="0" borderId="15" xfId="6" applyFont="1" applyFill="1" applyBorder="1" applyAlignment="1">
      <alignment vertical="center" wrapText="1"/>
    </xf>
    <xf numFmtId="0" fontId="14" fillId="0" borderId="24" xfId="6" applyFont="1" applyFill="1" applyBorder="1" applyAlignment="1">
      <alignment horizontal="center" vertical="center"/>
    </xf>
    <xf numFmtId="0" fontId="14" fillId="0" borderId="26" xfId="6" applyFont="1" applyFill="1" applyBorder="1" applyAlignment="1">
      <alignment horizontal="center" vertical="center"/>
    </xf>
    <xf numFmtId="0" fontId="1" fillId="0" borderId="27" xfId="6" applyFont="1" applyFill="1" applyBorder="1" applyAlignment="1">
      <alignment horizontal="center" vertical="center" wrapText="1"/>
    </xf>
    <xf numFmtId="0" fontId="14" fillId="0" borderId="19" xfId="6" applyFont="1" applyFill="1" applyBorder="1" applyAlignment="1">
      <alignment horizontal="center" vertical="center" wrapText="1"/>
    </xf>
    <xf numFmtId="0" fontId="14" fillId="0" borderId="33" xfId="6" applyFont="1" applyFill="1" applyBorder="1" applyAlignment="1">
      <alignment horizontal="center" vertical="center" wrapText="1"/>
    </xf>
    <xf numFmtId="0" fontId="14" fillId="0" borderId="25" xfId="6" applyFont="1" applyFill="1" applyBorder="1" applyAlignment="1">
      <alignment horizontal="center" vertical="center"/>
    </xf>
    <xf numFmtId="0" fontId="14" fillId="0" borderId="25" xfId="6" applyFont="1" applyFill="1" applyBorder="1">
      <alignment vertical="center"/>
    </xf>
    <xf numFmtId="0" fontId="14" fillId="0" borderId="26" xfId="6" applyFont="1" applyFill="1" applyBorder="1">
      <alignment vertical="center"/>
    </xf>
    <xf numFmtId="0" fontId="14" fillId="0" borderId="19" xfId="6" applyFont="1" applyFill="1" applyBorder="1" applyAlignment="1">
      <alignment horizontal="center" vertical="center"/>
    </xf>
    <xf numFmtId="0" fontId="14" fillId="0" borderId="33" xfId="6" applyFont="1" applyFill="1" applyBorder="1" applyAlignment="1">
      <alignment horizontal="center" vertical="center"/>
    </xf>
    <xf numFmtId="0" fontId="14" fillId="0" borderId="24"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4" fillId="0" borderId="27" xfId="6" applyFont="1" applyFill="1" applyBorder="1" applyAlignment="1">
      <alignment horizontal="center" vertical="center" wrapText="1"/>
    </xf>
    <xf numFmtId="0" fontId="14" fillId="0" borderId="27" xfId="6" applyFont="1" applyFill="1" applyBorder="1" applyAlignment="1">
      <alignment horizontal="center" vertical="center"/>
    </xf>
    <xf numFmtId="38" fontId="14" fillId="0" borderId="19" xfId="3" applyFont="1" applyFill="1" applyBorder="1" applyAlignment="1">
      <alignment horizontal="center" vertical="center" wrapText="1"/>
    </xf>
    <xf numFmtId="0" fontId="14" fillId="0" borderId="16" xfId="6" applyFont="1" applyFill="1" applyBorder="1">
      <alignment vertical="center"/>
    </xf>
    <xf numFmtId="0" fontId="14" fillId="0" borderId="18" xfId="6" applyFont="1" applyFill="1" applyBorder="1">
      <alignment vertical="center"/>
    </xf>
    <xf numFmtId="0" fontId="14" fillId="0" borderId="19" xfId="6" applyFont="1" applyFill="1" applyBorder="1" applyAlignment="1">
      <alignment vertical="center" wrapText="1"/>
    </xf>
    <xf numFmtId="38" fontId="14" fillId="0" borderId="33" xfId="3" applyFont="1" applyFill="1" applyBorder="1" applyAlignment="1">
      <alignment horizontal="center" vertical="center" wrapText="1"/>
    </xf>
    <xf numFmtId="0" fontId="14" fillId="0" borderId="14" xfId="6" applyFont="1" applyFill="1" applyBorder="1">
      <alignment vertical="center"/>
    </xf>
    <xf numFmtId="0" fontId="14" fillId="0" borderId="33" xfId="6" applyFont="1" applyFill="1" applyBorder="1" applyAlignment="1">
      <alignment vertical="center" wrapText="1"/>
    </xf>
    <xf numFmtId="0" fontId="14" fillId="0" borderId="14" xfId="6" applyFont="1" applyFill="1" applyBorder="1" applyAlignment="1">
      <alignment vertical="center" wrapText="1"/>
    </xf>
    <xf numFmtId="0" fontId="14" fillId="0" borderId="15" xfId="6" applyFont="1" applyFill="1" applyBorder="1" applyAlignment="1">
      <alignment vertical="center" wrapText="1"/>
    </xf>
    <xf numFmtId="0" fontId="14" fillId="0" borderId="0" xfId="6" applyFont="1" applyFill="1" applyBorder="1" applyAlignment="1">
      <alignment horizontal="right" vertical="center"/>
    </xf>
    <xf numFmtId="38" fontId="14" fillId="0" borderId="27" xfId="3" applyFont="1" applyFill="1" applyBorder="1" applyAlignment="1">
      <alignment horizontal="center" vertical="center" wrapText="1"/>
    </xf>
    <xf numFmtId="0" fontId="14" fillId="0" borderId="15" xfId="6" applyFont="1" applyFill="1" applyBorder="1" applyAlignment="1">
      <alignment horizontal="right" vertical="center" wrapText="1"/>
    </xf>
    <xf numFmtId="38" fontId="14" fillId="0" borderId="19" xfId="3" applyFont="1" applyFill="1" applyBorder="1" applyAlignment="1">
      <alignment horizontal="center" vertical="center"/>
    </xf>
    <xf numFmtId="38" fontId="14" fillId="0" borderId="33" xfId="3" applyFont="1" applyFill="1" applyBorder="1" applyAlignment="1">
      <alignment horizontal="center" vertical="center"/>
    </xf>
    <xf numFmtId="38" fontId="14" fillId="0" borderId="27" xfId="3" applyFont="1" applyFill="1" applyBorder="1" applyAlignment="1">
      <alignment horizontal="center" vertical="center"/>
    </xf>
    <xf numFmtId="0" fontId="1" fillId="0" borderId="24" xfId="6" applyFont="1" applyFill="1" applyBorder="1" applyAlignment="1">
      <alignment vertical="center" wrapText="1"/>
    </xf>
    <xf numFmtId="0" fontId="1" fillId="0" borderId="25" xfId="6" applyFont="1" applyFill="1" applyBorder="1" applyAlignment="1">
      <alignment vertical="center" wrapText="1"/>
    </xf>
    <xf numFmtId="0" fontId="1" fillId="0" borderId="26" xfId="6" applyFont="1" applyFill="1" applyBorder="1" applyAlignment="1">
      <alignment vertical="center" wrapText="1"/>
    </xf>
    <xf numFmtId="0" fontId="14" fillId="0" borderId="27" xfId="6" applyFont="1" applyFill="1" applyBorder="1" applyAlignment="1">
      <alignment vertical="center" wrapText="1"/>
    </xf>
    <xf numFmtId="0" fontId="16" fillId="0" borderId="0" xfId="6" applyFont="1" applyFill="1">
      <alignment vertical="center"/>
    </xf>
    <xf numFmtId="0" fontId="11" fillId="0" borderId="15" xfId="7" applyFont="1" applyFill="1" applyBorder="1" applyAlignment="1">
      <alignment vertical="center" wrapText="1"/>
    </xf>
    <xf numFmtId="0" fontId="10" fillId="0" borderId="17" xfId="7" applyFont="1" applyFill="1" applyBorder="1">
      <alignment vertical="center"/>
    </xf>
    <xf numFmtId="0" fontId="10" fillId="0" borderId="16" xfId="7" applyFont="1" applyFill="1" applyBorder="1">
      <alignment vertical="center"/>
    </xf>
    <xf numFmtId="0" fontId="10" fillId="0" borderId="18" xfId="7" applyFont="1" applyFill="1" applyBorder="1">
      <alignment vertical="center"/>
    </xf>
    <xf numFmtId="49" fontId="11" fillId="0" borderId="16" xfId="7" applyNumberFormat="1" applyFont="1" applyFill="1" applyBorder="1" applyAlignment="1">
      <alignment horizontal="left" vertical="center" wrapText="1"/>
    </xf>
    <xf numFmtId="0" fontId="1" fillId="0" borderId="17" xfId="7" applyFont="1" applyFill="1" applyBorder="1" applyAlignment="1">
      <alignment vertical="center"/>
    </xf>
    <xf numFmtId="0" fontId="1" fillId="0" borderId="18" xfId="7" applyFont="1" applyFill="1" applyBorder="1" applyAlignment="1">
      <alignment vertical="center"/>
    </xf>
    <xf numFmtId="0" fontId="11" fillId="0" borderId="0" xfId="7" applyFont="1" applyFill="1">
      <alignment vertical="center"/>
    </xf>
    <xf numFmtId="0" fontId="10" fillId="0" borderId="16" xfId="7" applyFont="1" applyFill="1" applyBorder="1" applyAlignment="1">
      <alignment horizontal="center" vertical="center"/>
    </xf>
    <xf numFmtId="0" fontId="10" fillId="0" borderId="18" xfId="7" applyFont="1" applyFill="1" applyBorder="1" applyAlignment="1">
      <alignment horizontal="center" vertical="center"/>
    </xf>
    <xf numFmtId="0" fontId="11" fillId="0" borderId="0" xfId="7" applyFont="1" applyFill="1" applyBorder="1" applyAlignment="1">
      <alignment vertical="center"/>
    </xf>
    <xf numFmtId="0" fontId="10" fillId="0" borderId="1" xfId="7" applyFont="1" applyFill="1" applyBorder="1" applyAlignment="1">
      <alignment horizontal="center" vertical="center" wrapText="1"/>
    </xf>
    <xf numFmtId="176" fontId="10" fillId="0" borderId="2" xfId="7" applyNumberFormat="1" applyFont="1" applyFill="1" applyBorder="1" applyAlignment="1">
      <alignment horizontal="right" vertical="center" wrapText="1"/>
    </xf>
    <xf numFmtId="0" fontId="1" fillId="0" borderId="3" xfId="7" applyFont="1" applyFill="1" applyBorder="1" applyAlignment="1">
      <alignment vertical="center" wrapText="1"/>
    </xf>
    <xf numFmtId="0" fontId="1" fillId="0" borderId="88" xfId="7" applyFont="1" applyFill="1" applyBorder="1" applyAlignment="1">
      <alignment vertical="center" wrapText="1"/>
    </xf>
    <xf numFmtId="0" fontId="12" fillId="0" borderId="0" xfId="7" applyFont="1" applyFill="1" applyAlignment="1">
      <alignment vertical="center" wrapText="1"/>
    </xf>
    <xf numFmtId="0" fontId="10" fillId="0" borderId="14" xfId="7" applyFont="1" applyFill="1" applyBorder="1">
      <alignment vertical="center"/>
    </xf>
    <xf numFmtId="0" fontId="10" fillId="0" borderId="15" xfId="7" applyFont="1" applyFill="1" applyBorder="1">
      <alignment vertical="center"/>
    </xf>
    <xf numFmtId="0" fontId="1" fillId="0" borderId="14" xfId="7" applyFont="1" applyFill="1" applyBorder="1" applyAlignment="1">
      <alignment vertical="center"/>
    </xf>
    <xf numFmtId="0" fontId="1" fillId="0" borderId="0" xfId="7" applyFont="1" applyFill="1" applyBorder="1" applyAlignment="1">
      <alignment vertical="center"/>
    </xf>
    <xf numFmtId="0" fontId="1" fillId="0" borderId="15" xfId="7" applyFont="1" applyFill="1" applyBorder="1" applyAlignment="1">
      <alignment vertical="center"/>
    </xf>
    <xf numFmtId="0" fontId="10" fillId="0" borderId="14" xfId="7" applyFont="1" applyFill="1" applyBorder="1" applyAlignment="1">
      <alignment horizontal="center" vertical="center"/>
    </xf>
    <xf numFmtId="0" fontId="10" fillId="0" borderId="15" xfId="7" applyFont="1" applyFill="1" applyBorder="1" applyAlignment="1">
      <alignment horizontal="center" vertical="center"/>
    </xf>
    <xf numFmtId="0" fontId="10" fillId="0" borderId="0" xfId="7" applyFont="1" applyFill="1" applyAlignment="1">
      <alignment vertical="center" wrapText="1"/>
    </xf>
    <xf numFmtId="0" fontId="17" fillId="0" borderId="0" xfId="7" applyFont="1" applyFill="1" applyAlignment="1">
      <alignment vertical="center" wrapText="1"/>
    </xf>
    <xf numFmtId="0" fontId="1" fillId="0" borderId="13" xfId="7" applyFont="1" applyFill="1" applyBorder="1" applyAlignment="1">
      <alignment vertical="center" wrapText="1"/>
    </xf>
    <xf numFmtId="0" fontId="1" fillId="0" borderId="89" xfId="7" applyFont="1" applyFill="1" applyBorder="1" applyAlignment="1">
      <alignment vertical="center" wrapText="1"/>
    </xf>
    <xf numFmtId="0" fontId="10" fillId="0" borderId="14" xfId="7" applyFont="1" applyFill="1" applyBorder="1" applyAlignment="1">
      <alignment horizontal="right" vertical="center" wrapText="1"/>
    </xf>
    <xf numFmtId="0" fontId="1" fillId="0" borderId="15" xfId="7" applyFont="1" applyFill="1" applyBorder="1" applyAlignment="1">
      <alignment horizontal="right" vertical="center" wrapText="1"/>
    </xf>
    <xf numFmtId="0" fontId="10" fillId="0" borderId="0" xfId="7" applyFont="1" applyFill="1" applyAlignment="1">
      <alignment horizontal="left" vertical="distributed" wrapText="1"/>
    </xf>
    <xf numFmtId="0" fontId="15" fillId="0" borderId="0" xfId="7" applyFont="1" applyFill="1" applyAlignment="1">
      <alignment vertical="center" wrapText="1"/>
    </xf>
    <xf numFmtId="0" fontId="1" fillId="0" borderId="14" xfId="7" applyFont="1" applyFill="1" applyBorder="1" applyAlignment="1">
      <alignment horizontal="right" vertical="center" wrapText="1"/>
    </xf>
    <xf numFmtId="0" fontId="14" fillId="0" borderId="24" xfId="7" applyFont="1" applyFill="1" applyBorder="1">
      <alignment vertical="center"/>
    </xf>
    <xf numFmtId="0" fontId="10" fillId="0" borderId="0" xfId="7" applyFont="1" applyFill="1" applyBorder="1" applyAlignment="1">
      <alignment wrapText="1"/>
    </xf>
    <xf numFmtId="0" fontId="1" fillId="0" borderId="0" xfId="7" applyFont="1" applyFill="1" applyAlignment="1">
      <alignment wrapText="1"/>
    </xf>
    <xf numFmtId="0" fontId="1" fillId="0" borderId="18" xfId="7" applyFont="1" applyFill="1" applyBorder="1" applyAlignment="1">
      <alignment horizontal="center" vertical="center" wrapText="1"/>
    </xf>
    <xf numFmtId="0" fontId="14" fillId="0" borderId="90" xfId="7" applyFont="1" applyFill="1" applyBorder="1" applyAlignment="1">
      <alignment horizontal="center" vertical="center" wrapText="1"/>
    </xf>
    <xf numFmtId="0" fontId="1" fillId="0" borderId="14" xfId="7" applyFont="1" applyFill="1" applyBorder="1" applyAlignment="1">
      <alignment horizontal="center" vertical="center" wrapText="1"/>
    </xf>
    <xf numFmtId="0" fontId="1" fillId="0" borderId="15" xfId="7" applyFont="1" applyFill="1" applyBorder="1" applyAlignment="1">
      <alignment horizontal="center" vertical="center" wrapText="1"/>
    </xf>
    <xf numFmtId="0" fontId="1" fillId="0" borderId="91" xfId="7" applyFont="1" applyFill="1" applyBorder="1" applyAlignment="1">
      <alignment vertical="center" wrapText="1"/>
    </xf>
    <xf numFmtId="0" fontId="1" fillId="0" borderId="24" xfId="7" applyFont="1" applyFill="1" applyBorder="1" applyAlignment="1">
      <alignment horizontal="center" vertical="center" wrapText="1"/>
    </xf>
    <xf numFmtId="0" fontId="1" fillId="0" borderId="26" xfId="7" applyFont="1" applyFill="1" applyBorder="1" applyAlignment="1">
      <alignment horizontal="center" vertical="center" wrapText="1"/>
    </xf>
    <xf numFmtId="0" fontId="1" fillId="0" borderId="92" xfId="7" applyFont="1" applyFill="1" applyBorder="1" applyAlignment="1">
      <alignment vertical="center" wrapText="1"/>
    </xf>
    <xf numFmtId="0" fontId="14" fillId="0" borderId="93" xfId="7" applyFont="1" applyFill="1" applyBorder="1" applyAlignment="1">
      <alignment horizontal="right" vertical="center" wrapText="1"/>
    </xf>
    <xf numFmtId="0" fontId="14" fillId="0" borderId="90" xfId="7" applyFont="1" applyFill="1" applyBorder="1" applyAlignment="1">
      <alignment horizontal="right" vertical="center" wrapText="1"/>
    </xf>
    <xf numFmtId="0" fontId="1" fillId="0" borderId="94" xfId="7" applyFont="1" applyFill="1" applyBorder="1" applyAlignment="1">
      <alignment horizontal="right" vertical="center" wrapText="1"/>
    </xf>
    <xf numFmtId="0" fontId="1" fillId="0" borderId="91" xfId="7" applyFont="1" applyFill="1" applyBorder="1" applyAlignment="1">
      <alignment horizontal="right" vertical="center" wrapText="1"/>
    </xf>
    <xf numFmtId="0" fontId="10" fillId="0" borderId="24" xfId="7" applyFont="1" applyFill="1" applyBorder="1" applyAlignment="1">
      <alignment horizontal="center" vertical="center"/>
    </xf>
    <xf numFmtId="0" fontId="10" fillId="0" borderId="26" xfId="7" applyFont="1" applyFill="1" applyBorder="1" applyAlignment="1">
      <alignment horizontal="center" vertical="center"/>
    </xf>
    <xf numFmtId="0" fontId="1" fillId="0" borderId="41" xfId="7" applyFont="1" applyFill="1" applyBorder="1" applyAlignment="1">
      <alignment vertical="center" wrapText="1"/>
    </xf>
    <xf numFmtId="0" fontId="1" fillId="0" borderId="42" xfId="7" applyFont="1" applyFill="1" applyBorder="1" applyAlignment="1">
      <alignment vertical="center" wrapText="1"/>
    </xf>
    <xf numFmtId="0" fontId="1" fillId="0" borderId="43" xfId="7" applyFont="1" applyFill="1" applyBorder="1" applyAlignment="1">
      <alignment vertical="center" wrapText="1"/>
    </xf>
    <xf numFmtId="0" fontId="1" fillId="0" borderId="46" xfId="7" applyFont="1" applyFill="1" applyBorder="1" applyAlignment="1">
      <alignment vertical="center" wrapText="1"/>
    </xf>
    <xf numFmtId="0" fontId="10" fillId="0" borderId="17" xfId="7" applyFont="1" applyFill="1" applyBorder="1" applyAlignment="1">
      <alignment horizontal="center" vertical="center"/>
    </xf>
    <xf numFmtId="0" fontId="18" fillId="0" borderId="0" xfId="7" applyFont="1" applyFill="1" applyBorder="1" applyAlignment="1">
      <alignment horizontal="center" vertical="center" wrapText="1"/>
    </xf>
    <xf numFmtId="0" fontId="1" fillId="0" borderId="0" xfId="7" applyFont="1" applyFill="1" applyBorder="1" applyAlignment="1">
      <alignment horizontal="center" vertical="center" wrapText="1"/>
    </xf>
    <xf numFmtId="0" fontId="10" fillId="0" borderId="0" xfId="7" applyFont="1" applyFill="1" applyBorder="1" applyAlignment="1">
      <alignment horizontal="center" vertical="center"/>
    </xf>
    <xf numFmtId="0" fontId="1" fillId="0" borderId="43" xfId="7" applyFont="1" applyFill="1" applyBorder="1" applyAlignment="1">
      <alignment horizontal="center" vertical="center" wrapText="1"/>
    </xf>
    <xf numFmtId="0" fontId="1" fillId="0" borderId="2" xfId="7" applyFont="1" applyFill="1" applyBorder="1" applyAlignment="1">
      <alignment vertical="center" wrapText="1"/>
    </xf>
    <xf numFmtId="0" fontId="1" fillId="0" borderId="3" xfId="7" applyFont="1" applyFill="1" applyBorder="1" applyAlignment="1">
      <alignment vertical="center"/>
    </xf>
    <xf numFmtId="0" fontId="1" fillId="0" borderId="88" xfId="7" applyFont="1" applyFill="1" applyBorder="1" applyAlignment="1">
      <alignment vertical="center"/>
    </xf>
    <xf numFmtId="0" fontId="1" fillId="0" borderId="13" xfId="7" applyFont="1" applyFill="1" applyBorder="1" applyAlignment="1">
      <alignment horizontal="center" vertical="center"/>
    </xf>
    <xf numFmtId="0" fontId="1" fillId="0" borderId="89" xfId="7" applyFont="1" applyFill="1" applyBorder="1" applyAlignment="1">
      <alignment vertical="center"/>
    </xf>
    <xf numFmtId="0" fontId="10" fillId="0" borderId="0" xfId="7" applyFont="1" applyFill="1" applyBorder="1" applyAlignment="1">
      <alignment horizontal="right" vertical="center"/>
    </xf>
    <xf numFmtId="0" fontId="1" fillId="0" borderId="0" xfId="7" applyFont="1" applyFill="1" applyBorder="1" applyAlignment="1">
      <alignment horizontal="right" vertical="center"/>
    </xf>
    <xf numFmtId="0" fontId="1" fillId="0" borderId="95" xfId="7" applyFont="1" applyFill="1" applyBorder="1" applyAlignment="1">
      <alignment horizontal="right" vertical="center" wrapText="1"/>
    </xf>
    <xf numFmtId="0" fontId="1" fillId="0" borderId="92" xfId="7" applyFont="1" applyFill="1" applyBorder="1" applyAlignment="1">
      <alignment horizontal="right" vertical="center" wrapText="1"/>
    </xf>
    <xf numFmtId="176" fontId="14" fillId="0" borderId="93" xfId="7" applyNumberFormat="1" applyFont="1" applyFill="1" applyBorder="1" applyAlignment="1">
      <alignment vertical="center" wrapText="1"/>
    </xf>
    <xf numFmtId="176" fontId="14" fillId="0" borderId="90" xfId="7" applyNumberFormat="1" applyFont="1" applyFill="1" applyBorder="1" applyAlignment="1">
      <alignment vertical="center" wrapText="1"/>
    </xf>
    <xf numFmtId="176" fontId="15" fillId="0" borderId="16" xfId="7" applyNumberFormat="1" applyFont="1" applyFill="1" applyBorder="1" applyAlignment="1">
      <alignment vertical="center" shrinkToFit="1"/>
    </xf>
    <xf numFmtId="0" fontId="1" fillId="0" borderId="18" xfId="7" applyFont="1" applyFill="1" applyBorder="1" applyAlignment="1">
      <alignment vertical="center" shrinkToFit="1"/>
    </xf>
    <xf numFmtId="0" fontId="10" fillId="0" borderId="14" xfId="7" applyFont="1" applyFill="1" applyBorder="1" applyAlignment="1">
      <alignment wrapText="1"/>
    </xf>
    <xf numFmtId="176" fontId="1" fillId="0" borderId="94" xfId="7" applyNumberFormat="1" applyFont="1" applyFill="1" applyBorder="1" applyAlignment="1">
      <alignment vertical="center" wrapText="1"/>
    </xf>
    <xf numFmtId="176" fontId="1" fillId="0" borderId="91" xfId="7" applyNumberFormat="1" applyFont="1" applyFill="1" applyBorder="1" applyAlignment="1">
      <alignment vertical="center" wrapText="1"/>
    </xf>
    <xf numFmtId="0" fontId="1" fillId="0" borderId="14" xfId="7" applyFont="1" applyFill="1" applyBorder="1" applyAlignment="1">
      <alignment vertical="center" shrinkToFit="1"/>
    </xf>
    <xf numFmtId="0" fontId="1" fillId="0" borderId="15" xfId="7" applyFont="1" applyFill="1" applyBorder="1" applyAlignment="1">
      <alignment vertical="center" shrinkToFit="1"/>
    </xf>
    <xf numFmtId="176" fontId="1" fillId="0" borderId="14" xfId="7" applyNumberFormat="1" applyFont="1" applyFill="1" applyBorder="1" applyAlignment="1">
      <alignment vertical="center" wrapText="1" shrinkToFit="1"/>
    </xf>
    <xf numFmtId="0" fontId="1" fillId="0" borderId="15" xfId="7" applyFont="1" applyFill="1" applyBorder="1" applyAlignment="1">
      <alignment vertical="center" wrapText="1" shrinkToFit="1"/>
    </xf>
    <xf numFmtId="0" fontId="1" fillId="0" borderId="14" xfId="7" applyFont="1" applyFill="1" applyBorder="1" applyAlignment="1">
      <alignment vertical="center" wrapText="1" shrinkToFit="1"/>
    </xf>
    <xf numFmtId="0" fontId="1" fillId="0" borderId="41" xfId="7" applyFont="1" applyFill="1" applyBorder="1" applyAlignment="1">
      <alignment horizontal="center" vertical="center"/>
    </xf>
    <xf numFmtId="0" fontId="1" fillId="0" borderId="42" xfId="7" applyFont="1" applyFill="1" applyBorder="1" applyAlignment="1">
      <alignment vertical="center"/>
    </xf>
    <xf numFmtId="0" fontId="1" fillId="0" borderId="43" xfId="7" applyFont="1" applyFill="1" applyBorder="1" applyAlignment="1">
      <alignment vertical="center"/>
    </xf>
    <xf numFmtId="0" fontId="1" fillId="0" borderId="46" xfId="7" applyFont="1" applyFill="1" applyBorder="1" applyAlignment="1">
      <alignment vertical="center"/>
    </xf>
    <xf numFmtId="0" fontId="1" fillId="0" borderId="0" xfId="7" applyFont="1" applyFill="1" applyBorder="1" applyAlignment="1">
      <alignment horizontal="center" vertical="center"/>
    </xf>
    <xf numFmtId="176" fontId="1" fillId="0" borderId="95" xfId="7" applyNumberFormat="1" applyFont="1" applyFill="1" applyBorder="1" applyAlignment="1">
      <alignment vertical="center" wrapText="1"/>
    </xf>
    <xf numFmtId="176" fontId="1" fillId="0" borderId="92" xfId="7" applyNumberFormat="1" applyFont="1" applyFill="1" applyBorder="1" applyAlignment="1">
      <alignment vertical="center" wrapText="1"/>
    </xf>
    <xf numFmtId="0" fontId="1" fillId="0" borderId="24" xfId="7" applyFont="1" applyFill="1" applyBorder="1" applyAlignment="1">
      <alignment vertical="center" wrapText="1" shrinkToFit="1"/>
    </xf>
    <xf numFmtId="0" fontId="1" fillId="0" borderId="26" xfId="7" applyFont="1" applyFill="1" applyBorder="1" applyAlignment="1">
      <alignment vertical="center" wrapText="1" shrinkToFit="1"/>
    </xf>
    <xf numFmtId="0" fontId="18" fillId="0" borderId="0" xfId="7" applyFont="1" applyFill="1" applyBorder="1" applyAlignment="1">
      <alignment horizontal="center" vertical="center"/>
    </xf>
    <xf numFmtId="0" fontId="10" fillId="0" borderId="0" xfId="7" applyFont="1" applyFill="1" applyBorder="1" applyAlignment="1">
      <alignment horizontal="right" vertical="center" wrapText="1"/>
    </xf>
    <xf numFmtId="0" fontId="1" fillId="0" borderId="24" xfId="7" applyFont="1" applyFill="1" applyBorder="1" applyAlignment="1">
      <alignment vertical="center"/>
    </xf>
    <xf numFmtId="0" fontId="1" fillId="0" borderId="25" xfId="7" applyFont="1" applyFill="1" applyBorder="1" applyAlignment="1">
      <alignment vertical="center"/>
    </xf>
    <xf numFmtId="0" fontId="1" fillId="0" borderId="26" xfId="7" applyFont="1" applyFill="1" applyBorder="1" applyAlignment="1">
      <alignment vertical="center"/>
    </xf>
    <xf numFmtId="0" fontId="10" fillId="0" borderId="0" xfId="7" applyFont="1" applyFill="1" applyBorder="1" applyAlignment="1">
      <alignment vertical="center"/>
    </xf>
    <xf numFmtId="0" fontId="11" fillId="0" borderId="0" xfId="7" applyFont="1" applyFill="1" applyBorder="1" applyAlignment="1">
      <alignment vertical="center" wrapText="1" shrinkToFit="1"/>
    </xf>
    <xf numFmtId="0" fontId="1" fillId="0" borderId="0" xfId="7" applyFont="1" applyFill="1" applyBorder="1" applyAlignment="1">
      <alignment vertical="center" wrapText="1" shrinkToFit="1"/>
    </xf>
    <xf numFmtId="0" fontId="1" fillId="0" borderId="0" xfId="9"/>
    <xf numFmtId="0" fontId="1" fillId="0" borderId="0" xfId="9" applyAlignment="1">
      <alignment horizontal="center"/>
    </xf>
    <xf numFmtId="0" fontId="1" fillId="0" borderId="43" xfId="9" applyBorder="1" applyAlignment="1">
      <alignment horizontal="center"/>
    </xf>
    <xf numFmtId="177" fontId="1" fillId="0" borderId="0" xfId="9" applyNumberFormat="1" applyAlignment="1">
      <alignment horizontal="center"/>
    </xf>
    <xf numFmtId="0" fontId="19" fillId="0" borderId="96" xfId="9" applyFont="1" applyBorder="1" applyAlignment="1">
      <alignment horizontal="center"/>
    </xf>
    <xf numFmtId="0" fontId="20" fillId="0" borderId="0" xfId="9" applyFont="1" applyBorder="1" applyAlignment="1">
      <alignment horizontal="center"/>
    </xf>
    <xf numFmtId="0" fontId="21" fillId="0" borderId="0" xfId="9" applyFont="1"/>
    <xf numFmtId="0" fontId="1" fillId="0" borderId="97" xfId="9" applyBorder="1" applyAlignment="1">
      <alignment horizontal="left"/>
    </xf>
    <xf numFmtId="0" fontId="1" fillId="0" borderId="0" xfId="9" applyAlignment="1">
      <alignment horizontal="left"/>
    </xf>
    <xf numFmtId="0" fontId="1" fillId="0" borderId="98" xfId="9" applyFont="1" applyBorder="1" applyAlignment="1">
      <alignment horizontal="left"/>
    </xf>
    <xf numFmtId="0" fontId="1" fillId="0" borderId="99" xfId="9" applyBorder="1" applyAlignment="1">
      <alignment horizontal="left"/>
    </xf>
    <xf numFmtId="0" fontId="1" fillId="0" borderId="100" xfId="9" applyBorder="1" applyAlignment="1">
      <alignment horizontal="center"/>
    </xf>
    <xf numFmtId="0" fontId="1" fillId="0" borderId="98" xfId="9" applyBorder="1" applyAlignment="1">
      <alignment horizontal="center"/>
    </xf>
    <xf numFmtId="177" fontId="1" fillId="0" borderId="97" xfId="9" applyNumberFormat="1" applyBorder="1" applyAlignment="1" applyProtection="1">
      <alignment horizontal="center"/>
      <protection hidden="1"/>
    </xf>
    <xf numFmtId="177" fontId="1" fillId="0" borderId="101" xfId="9" applyNumberFormat="1" applyBorder="1" applyAlignment="1" applyProtection="1">
      <alignment horizontal="center"/>
      <protection hidden="1"/>
    </xf>
    <xf numFmtId="177" fontId="1" fillId="0" borderId="102" xfId="9" applyNumberFormat="1" applyBorder="1" applyAlignment="1" applyProtection="1">
      <alignment horizontal="center"/>
      <protection hidden="1"/>
    </xf>
    <xf numFmtId="177" fontId="1" fillId="0" borderId="103" xfId="9" applyNumberFormat="1" applyBorder="1" applyAlignment="1" applyProtection="1">
      <alignment horizontal="center"/>
      <protection hidden="1"/>
    </xf>
    <xf numFmtId="0" fontId="19" fillId="0" borderId="104" xfId="9" applyFont="1" applyBorder="1" applyAlignment="1">
      <alignment horizontal="center"/>
    </xf>
    <xf numFmtId="178" fontId="1" fillId="2" borderId="104" xfId="5" applyNumberFormat="1" applyFill="1" applyBorder="1" applyProtection="1">
      <alignment vertical="center"/>
      <protection locked="0"/>
    </xf>
    <xf numFmtId="178" fontId="1" fillId="0" borderId="104" xfId="5" applyNumberFormat="1" applyFill="1" applyBorder="1" applyProtection="1">
      <alignment vertical="center"/>
      <protection hidden="1"/>
    </xf>
    <xf numFmtId="179" fontId="1" fillId="2" borderId="98" xfId="5" applyNumberFormat="1" applyFill="1" applyBorder="1" applyProtection="1">
      <alignment vertical="center"/>
      <protection locked="0"/>
    </xf>
    <xf numFmtId="0" fontId="1" fillId="2" borderId="98" xfId="5" applyNumberFormat="1" applyFill="1" applyBorder="1" applyProtection="1">
      <alignment vertical="center"/>
      <protection locked="0"/>
    </xf>
    <xf numFmtId="180" fontId="1" fillId="0" borderId="98" xfId="2" applyNumberFormat="1" applyFill="1" applyBorder="1" applyProtection="1">
      <alignment vertical="center"/>
      <protection hidden="1"/>
    </xf>
    <xf numFmtId="181" fontId="1" fillId="2" borderId="104" xfId="2" applyNumberFormat="1" applyFill="1" applyBorder="1" applyProtection="1">
      <alignment vertical="center"/>
      <protection locked="0"/>
    </xf>
    <xf numFmtId="182" fontId="1" fillId="0" borderId="0" xfId="2" applyNumberFormat="1" applyFill="1" applyBorder="1">
      <alignment vertical="center"/>
    </xf>
    <xf numFmtId="0" fontId="1" fillId="0" borderId="105" xfId="9" applyBorder="1" applyAlignment="1">
      <alignment horizontal="center"/>
    </xf>
    <xf numFmtId="0" fontId="1" fillId="3" borderId="105" xfId="9" applyFill="1" applyBorder="1" applyAlignment="1">
      <alignment horizontal="center"/>
    </xf>
    <xf numFmtId="183" fontId="1" fillId="3" borderId="106" xfId="5" applyNumberFormat="1" applyFill="1" applyBorder="1" applyProtection="1">
      <alignment vertical="center"/>
      <protection hidden="1"/>
    </xf>
    <xf numFmtId="183" fontId="1" fillId="3" borderId="0" xfId="5" applyNumberFormat="1" applyFill="1" applyBorder="1" applyProtection="1">
      <alignment vertical="center"/>
      <protection hidden="1"/>
    </xf>
    <xf numFmtId="183" fontId="1" fillId="3" borderId="15" xfId="5" applyNumberFormat="1" applyFill="1" applyBorder="1" applyProtection="1">
      <alignment vertical="center"/>
      <protection hidden="1"/>
    </xf>
    <xf numFmtId="183" fontId="1" fillId="3" borderId="14" xfId="5" applyNumberFormat="1" applyFill="1" applyBorder="1" applyProtection="1">
      <alignment vertical="center"/>
      <protection hidden="1"/>
    </xf>
    <xf numFmtId="183" fontId="1" fillId="0" borderId="105" xfId="9" applyNumberFormat="1" applyBorder="1" applyProtection="1">
      <protection hidden="1"/>
    </xf>
    <xf numFmtId="0" fontId="20" fillId="0" borderId="3" xfId="9" applyFont="1" applyBorder="1" applyAlignment="1"/>
    <xf numFmtId="180" fontId="1" fillId="0" borderId="0" xfId="2" applyNumberFormat="1" applyFont="1">
      <alignment vertical="center"/>
    </xf>
    <xf numFmtId="180" fontId="1" fillId="0" borderId="0" xfId="9" applyNumberFormat="1"/>
    <xf numFmtId="0" fontId="1" fillId="4" borderId="105" xfId="9" applyFill="1" applyBorder="1" applyAlignment="1">
      <alignment horizontal="center"/>
    </xf>
    <xf numFmtId="183" fontId="1" fillId="4" borderId="106" xfId="5" applyNumberFormat="1" applyFill="1" applyBorder="1" applyProtection="1">
      <alignment vertical="center"/>
      <protection hidden="1"/>
    </xf>
    <xf numFmtId="183" fontId="1" fillId="4" borderId="0" xfId="5" applyNumberFormat="1" applyFill="1" applyBorder="1" applyProtection="1">
      <alignment vertical="center"/>
      <protection hidden="1"/>
    </xf>
    <xf numFmtId="183" fontId="1" fillId="4" borderId="15" xfId="5" applyNumberFormat="1" applyFill="1" applyBorder="1" applyProtection="1">
      <alignment vertical="center"/>
      <protection hidden="1"/>
    </xf>
    <xf numFmtId="183" fontId="1" fillId="4" borderId="14" xfId="5" applyNumberFormat="1" applyFill="1" applyBorder="1" applyProtection="1">
      <alignment vertical="center"/>
      <protection hidden="1"/>
    </xf>
    <xf numFmtId="38" fontId="1" fillId="0" borderId="0" xfId="9" applyNumberFormat="1"/>
    <xf numFmtId="184" fontId="1" fillId="0" borderId="0" xfId="5" applyNumberFormat="1">
      <alignment vertical="center"/>
    </xf>
    <xf numFmtId="183" fontId="1" fillId="0" borderId="106" xfId="5" applyNumberFormat="1" applyBorder="1" applyProtection="1">
      <alignment vertical="center"/>
      <protection hidden="1"/>
    </xf>
    <xf numFmtId="183" fontId="1" fillId="0" borderId="0" xfId="5" applyNumberFormat="1" applyBorder="1" applyProtection="1">
      <alignment vertical="center"/>
      <protection hidden="1"/>
    </xf>
    <xf numFmtId="183" fontId="1" fillId="0" borderId="15" xfId="5" applyNumberFormat="1" applyBorder="1" applyProtection="1">
      <alignment vertical="center"/>
      <protection hidden="1"/>
    </xf>
    <xf numFmtId="183" fontId="1" fillId="0" borderId="14" xfId="5" applyNumberFormat="1" applyBorder="1" applyProtection="1">
      <alignment vertical="center"/>
      <protection hidden="1"/>
    </xf>
    <xf numFmtId="0" fontId="1" fillId="0" borderId="96" xfId="9" applyBorder="1" applyAlignment="1">
      <alignment horizontal="center"/>
    </xf>
    <xf numFmtId="0" fontId="1" fillId="0" borderId="100" xfId="9" applyBorder="1"/>
    <xf numFmtId="0" fontId="1" fillId="0" borderId="107" xfId="9" applyBorder="1"/>
    <xf numFmtId="0" fontId="1" fillId="0" borderId="88" xfId="9" applyBorder="1"/>
    <xf numFmtId="0" fontId="1" fillId="0" borderId="108" xfId="9" applyBorder="1" applyAlignment="1">
      <alignment horizontal="center"/>
    </xf>
    <xf numFmtId="185" fontId="1" fillId="0" borderId="109" xfId="9" applyNumberFormat="1" applyBorder="1" applyProtection="1">
      <protection hidden="1"/>
    </xf>
    <xf numFmtId="0" fontId="1" fillId="0" borderId="104" xfId="9" applyBorder="1" applyAlignment="1">
      <alignment horizontal="center"/>
    </xf>
    <xf numFmtId="183" fontId="1" fillId="0" borderId="110" xfId="9" applyNumberFormat="1" applyBorder="1" applyProtection="1">
      <protection hidden="1"/>
    </xf>
    <xf numFmtId="183" fontId="1" fillId="0" borderId="43" xfId="9" applyNumberFormat="1" applyBorder="1" applyProtection="1">
      <protection hidden="1"/>
    </xf>
    <xf numFmtId="183" fontId="1" fillId="0" borderId="44" xfId="9" applyNumberFormat="1" applyBorder="1" applyProtection="1">
      <protection hidden="1"/>
    </xf>
    <xf numFmtId="183" fontId="1" fillId="0" borderId="42" xfId="9" applyNumberFormat="1" applyBorder="1" applyProtection="1">
      <protection hidden="1"/>
    </xf>
    <xf numFmtId="183" fontId="1" fillId="0" borderId="104" xfId="9" applyNumberFormat="1" applyBorder="1" applyProtection="1">
      <protection hidden="1"/>
    </xf>
    <xf numFmtId="0" fontId="1" fillId="0" borderId="111" xfId="9" applyBorder="1" applyAlignment="1">
      <alignment horizontal="center"/>
    </xf>
    <xf numFmtId="0" fontId="1" fillId="0" borderId="112" xfId="9" applyBorder="1"/>
    <xf numFmtId="0" fontId="1" fillId="0" borderId="21" xfId="9" applyBorder="1"/>
    <xf numFmtId="0" fontId="1" fillId="0" borderId="113" xfId="9" applyBorder="1"/>
    <xf numFmtId="184" fontId="1" fillId="0" borderId="98" xfId="9" applyNumberFormat="1" applyBorder="1" applyAlignment="1">
      <alignment horizontal="center"/>
    </xf>
    <xf numFmtId="10" fontId="1" fillId="0" borderId="110" xfId="9" applyNumberFormat="1" applyBorder="1"/>
    <xf numFmtId="10" fontId="1" fillId="0" borderId="45" xfId="9" applyNumberFormat="1" applyBorder="1"/>
    <xf numFmtId="10" fontId="1" fillId="0" borderId="46" xfId="9" applyNumberFormat="1" applyBorder="1"/>
    <xf numFmtId="183" fontId="1" fillId="3" borderId="2" xfId="5" applyNumberFormat="1" applyFont="1" applyFill="1" applyBorder="1" applyProtection="1">
      <alignment vertical="center"/>
      <protection hidden="1"/>
    </xf>
    <xf numFmtId="183" fontId="1" fillId="3" borderId="3" xfId="5" applyNumberFormat="1" applyFont="1" applyFill="1" applyBorder="1" applyProtection="1">
      <alignment vertical="center"/>
      <protection hidden="1"/>
    </xf>
    <xf numFmtId="183" fontId="1" fillId="3" borderId="4" xfId="5" applyNumberFormat="1" applyFont="1" applyFill="1" applyBorder="1" applyProtection="1">
      <alignment vertical="center"/>
      <protection hidden="1"/>
    </xf>
    <xf numFmtId="38" fontId="1" fillId="0" borderId="0" xfId="9" applyNumberFormat="1" applyBorder="1"/>
    <xf numFmtId="178" fontId="1" fillId="2" borderId="98" xfId="4" applyNumberFormat="1" applyFill="1" applyBorder="1" applyProtection="1">
      <alignment vertical="center"/>
      <protection locked="0"/>
    </xf>
    <xf numFmtId="178" fontId="1" fillId="0" borderId="98" xfId="4" applyNumberFormat="1" applyFill="1" applyBorder="1" applyProtection="1">
      <alignment vertical="center"/>
      <protection hidden="1"/>
    </xf>
    <xf numFmtId="182" fontId="1" fillId="2" borderId="98" xfId="1" applyNumberFormat="1" applyFont="1" applyFill="1" applyBorder="1" applyProtection="1">
      <alignment vertical="center"/>
      <protection locked="0"/>
    </xf>
    <xf numFmtId="0" fontId="22" fillId="0" borderId="0" xfId="8" applyFont="1" applyBorder="1" applyAlignment="1">
      <alignment horizontal="center"/>
    </xf>
    <xf numFmtId="186" fontId="1" fillId="0" borderId="0" xfId="4" applyNumberFormat="1" applyBorder="1">
      <alignment vertical="center"/>
    </xf>
    <xf numFmtId="183" fontId="1" fillId="0" borderId="109" xfId="8" applyNumberFormat="1" applyBorder="1" applyProtection="1">
      <protection hidden="1"/>
    </xf>
    <xf numFmtId="0" fontId="22" fillId="0" borderId="108" xfId="8" applyFont="1" applyBorder="1" applyAlignment="1">
      <alignment horizontal="center"/>
    </xf>
    <xf numFmtId="183" fontId="1" fillId="0" borderId="99" xfId="4" applyNumberFormat="1" applyBorder="1" applyProtection="1">
      <alignment vertical="center"/>
      <protection hidden="1"/>
    </xf>
    <xf numFmtId="177" fontId="1" fillId="0" borderId="98" xfId="8" applyNumberFormat="1" applyBorder="1" applyAlignment="1">
      <alignment horizontal="center"/>
    </xf>
    <xf numFmtId="0" fontId="23" fillId="0" borderId="108" xfId="8" applyFont="1" applyBorder="1" applyAlignment="1">
      <alignment horizontal="center" shrinkToFit="1"/>
    </xf>
    <xf numFmtId="183" fontId="1" fillId="3" borderId="100" xfId="4" applyNumberFormat="1" applyFill="1" applyBorder="1" applyProtection="1">
      <alignment vertical="center"/>
      <protection hidden="1"/>
    </xf>
    <xf numFmtId="0" fontId="22" fillId="0" borderId="3" xfId="8" applyFont="1" applyBorder="1" applyAlignment="1">
      <alignment horizontal="center"/>
    </xf>
    <xf numFmtId="186" fontId="1" fillId="0" borderId="3" xfId="4" applyNumberFormat="1" applyFill="1" applyBorder="1">
      <alignment vertical="center"/>
    </xf>
    <xf numFmtId="0" fontId="23" fillId="0" borderId="0" xfId="8" applyFont="1" applyBorder="1" applyAlignment="1">
      <alignment horizontal="center" shrinkToFit="1"/>
    </xf>
    <xf numFmtId="183" fontId="1" fillId="0" borderId="0" xfId="4" applyNumberFormat="1" applyBorder="1">
      <alignment vertical="center"/>
    </xf>
  </cellXfs>
  <cellStyles count="10">
    <cellStyle name="パーセント_元利均等弁済ｼﾐｭﾚｰｼｮﾝ" xfId="1"/>
    <cellStyle name="パーセント_元金均等弁済ｼﾐｭﾚｰｼｮﾝ" xfId="2"/>
    <cellStyle name="桁区切り_借入状況等申告書" xfId="3"/>
    <cellStyle name="桁区切り_元利均等弁済ｼﾐｭﾚｰｼｮﾝ" xfId="4"/>
    <cellStyle name="桁区切り_元金均等弁済ｼﾐｭﾚｰｼｮﾝ" xfId="5"/>
    <cellStyle name="標準" xfId="0" builtinId="0"/>
    <cellStyle name="標準_借入状況等申告書" xfId="6"/>
    <cellStyle name="標準_借入状況等申告書_1" xfId="7"/>
    <cellStyle name="標準_元利均等弁済ｼﾐｭﾚｰｼｮﾝ" xfId="8"/>
    <cellStyle name="標準_元金均等弁済ｼﾐｭﾚｰｼｮﾝ"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55245</xdr:colOff>
      <xdr:row>2</xdr:row>
      <xdr:rowOff>128270</xdr:rowOff>
    </xdr:from>
    <xdr:to xmlns:xdr="http://schemas.openxmlformats.org/drawingml/2006/spreadsheetDrawing">
      <xdr:col>2</xdr:col>
      <xdr:colOff>237490</xdr:colOff>
      <xdr:row>3</xdr:row>
      <xdr:rowOff>160020</xdr:rowOff>
    </xdr:to>
    <xdr:sp macro="" textlink="">
      <xdr:nvSpPr>
        <xdr:cNvPr id="2" name="テキスト ボックス 1"/>
        <xdr:cNvSpPr txBox="1"/>
      </xdr:nvSpPr>
      <xdr:spPr>
        <a:xfrm>
          <a:off x="55245" y="239395"/>
          <a:ext cx="299720" cy="196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①</a:t>
          </a:r>
        </a:p>
      </xdr:txBody>
    </xdr:sp>
    <xdr:clientData/>
  </xdr:twoCellAnchor>
  <xdr:twoCellAnchor>
    <xdr:from xmlns:xdr="http://schemas.openxmlformats.org/drawingml/2006/spreadsheetDrawing">
      <xdr:col>6</xdr:col>
      <xdr:colOff>1071880</xdr:colOff>
      <xdr:row>2</xdr:row>
      <xdr:rowOff>128270</xdr:rowOff>
    </xdr:from>
    <xdr:to xmlns:xdr="http://schemas.openxmlformats.org/drawingml/2006/spreadsheetDrawing">
      <xdr:col>7</xdr:col>
      <xdr:colOff>237490</xdr:colOff>
      <xdr:row>3</xdr:row>
      <xdr:rowOff>172720</xdr:rowOff>
    </xdr:to>
    <xdr:sp macro="" textlink="">
      <xdr:nvSpPr>
        <xdr:cNvPr id="3" name="テキスト ボックス 4"/>
        <xdr:cNvSpPr txBox="1"/>
      </xdr:nvSpPr>
      <xdr:spPr>
        <a:xfrm>
          <a:off x="3202305" y="239395"/>
          <a:ext cx="287655" cy="2095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②</a:t>
          </a:r>
        </a:p>
      </xdr:txBody>
    </xdr:sp>
    <xdr:clientData/>
  </xdr:twoCellAnchor>
  <xdr:twoCellAnchor>
    <xdr:from xmlns:xdr="http://schemas.openxmlformats.org/drawingml/2006/spreadsheetDrawing">
      <xdr:col>0</xdr:col>
      <xdr:colOff>55245</xdr:colOff>
      <xdr:row>3</xdr:row>
      <xdr:rowOff>603250</xdr:rowOff>
    </xdr:from>
    <xdr:to xmlns:xdr="http://schemas.openxmlformats.org/drawingml/2006/spreadsheetDrawing">
      <xdr:col>2</xdr:col>
      <xdr:colOff>220980</xdr:colOff>
      <xdr:row>4</xdr:row>
      <xdr:rowOff>172085</xdr:rowOff>
    </xdr:to>
    <xdr:sp macro="" textlink="">
      <xdr:nvSpPr>
        <xdr:cNvPr id="4" name="テキスト ボックス 8"/>
        <xdr:cNvSpPr txBox="1"/>
      </xdr:nvSpPr>
      <xdr:spPr>
        <a:xfrm>
          <a:off x="55245" y="879475"/>
          <a:ext cx="283210" cy="2070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③</a:t>
          </a:r>
        </a:p>
      </xdr:txBody>
    </xdr:sp>
    <xdr:clientData/>
  </xdr:twoCellAnchor>
  <xdr:twoCellAnchor>
    <xdr:from xmlns:xdr="http://schemas.openxmlformats.org/drawingml/2006/spreadsheetDrawing">
      <xdr:col>0</xdr:col>
      <xdr:colOff>55245</xdr:colOff>
      <xdr:row>6</xdr:row>
      <xdr:rowOff>171450</xdr:rowOff>
    </xdr:from>
    <xdr:to xmlns:xdr="http://schemas.openxmlformats.org/drawingml/2006/spreadsheetDrawing">
      <xdr:col>2</xdr:col>
      <xdr:colOff>220980</xdr:colOff>
      <xdr:row>7</xdr:row>
      <xdr:rowOff>197485</xdr:rowOff>
    </xdr:to>
    <xdr:sp macro="" textlink="">
      <xdr:nvSpPr>
        <xdr:cNvPr id="5" name="テキスト ボックス 13"/>
        <xdr:cNvSpPr txBox="1"/>
      </xdr:nvSpPr>
      <xdr:spPr>
        <a:xfrm>
          <a:off x="55245" y="1400175"/>
          <a:ext cx="283210" cy="23558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④</a:t>
          </a:r>
        </a:p>
      </xdr:txBody>
    </xdr:sp>
    <xdr:clientData/>
  </xdr:twoCellAnchor>
  <xdr:twoCellAnchor>
    <xdr:from xmlns:xdr="http://schemas.openxmlformats.org/drawingml/2006/spreadsheetDrawing">
      <xdr:col>6</xdr:col>
      <xdr:colOff>1082675</xdr:colOff>
      <xdr:row>3</xdr:row>
      <xdr:rowOff>595630</xdr:rowOff>
    </xdr:from>
    <xdr:to xmlns:xdr="http://schemas.openxmlformats.org/drawingml/2006/spreadsheetDrawing">
      <xdr:col>7</xdr:col>
      <xdr:colOff>220980</xdr:colOff>
      <xdr:row>4</xdr:row>
      <xdr:rowOff>165735</xdr:rowOff>
    </xdr:to>
    <xdr:sp macro="" textlink="">
      <xdr:nvSpPr>
        <xdr:cNvPr id="6" name="テキスト ボックス 15"/>
        <xdr:cNvSpPr txBox="1"/>
      </xdr:nvSpPr>
      <xdr:spPr>
        <a:xfrm>
          <a:off x="3213100" y="871855"/>
          <a:ext cx="260350" cy="20828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⑤</a:t>
          </a:r>
        </a:p>
      </xdr:txBody>
    </xdr:sp>
    <xdr:clientData/>
  </xdr:twoCellAnchor>
  <xdr:twoCellAnchor>
    <xdr:from xmlns:xdr="http://schemas.openxmlformats.org/drawingml/2006/spreadsheetDrawing">
      <xdr:col>6</xdr:col>
      <xdr:colOff>1071880</xdr:colOff>
      <xdr:row>6</xdr:row>
      <xdr:rowOff>171450</xdr:rowOff>
    </xdr:from>
    <xdr:to xmlns:xdr="http://schemas.openxmlformats.org/drawingml/2006/spreadsheetDrawing">
      <xdr:col>7</xdr:col>
      <xdr:colOff>209550</xdr:colOff>
      <xdr:row>8</xdr:row>
      <xdr:rowOff>0</xdr:rowOff>
    </xdr:to>
    <xdr:sp macro="" textlink="">
      <xdr:nvSpPr>
        <xdr:cNvPr id="7" name="テキスト ボックス 19"/>
        <xdr:cNvSpPr txBox="1"/>
      </xdr:nvSpPr>
      <xdr:spPr>
        <a:xfrm>
          <a:off x="3202305" y="1400175"/>
          <a:ext cx="259715" cy="3175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⑥</a:t>
          </a:r>
        </a:p>
      </xdr:txBody>
    </xdr:sp>
    <xdr:clientData/>
  </xdr:twoCellAnchor>
  <xdr:twoCellAnchor>
    <xdr:from xmlns:xdr="http://schemas.openxmlformats.org/drawingml/2006/spreadsheetDrawing">
      <xdr:col>2</xdr:col>
      <xdr:colOff>104775</xdr:colOff>
      <xdr:row>11</xdr:row>
      <xdr:rowOff>99695</xdr:rowOff>
    </xdr:from>
    <xdr:to xmlns:xdr="http://schemas.openxmlformats.org/drawingml/2006/spreadsheetDrawing">
      <xdr:col>4</xdr:col>
      <xdr:colOff>574675</xdr:colOff>
      <xdr:row>13</xdr:row>
      <xdr:rowOff>220345</xdr:rowOff>
    </xdr:to>
    <xdr:sp macro="" textlink="">
      <xdr:nvSpPr>
        <xdr:cNvPr id="8" name="大かっこ 20"/>
        <xdr:cNvSpPr/>
      </xdr:nvSpPr>
      <xdr:spPr>
        <a:xfrm>
          <a:off x="222250" y="2795270"/>
          <a:ext cx="1074420" cy="7556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593090</xdr:colOff>
      <xdr:row>8</xdr:row>
      <xdr:rowOff>277495</xdr:rowOff>
    </xdr:from>
    <xdr:to xmlns:xdr="http://schemas.openxmlformats.org/drawingml/2006/spreadsheetDrawing">
      <xdr:col>5</xdr:col>
      <xdr:colOff>219075</xdr:colOff>
      <xdr:row>9</xdr:row>
      <xdr:rowOff>168910</xdr:rowOff>
    </xdr:to>
    <xdr:sp macro="" textlink="">
      <xdr:nvSpPr>
        <xdr:cNvPr id="9" name="テキスト ボックス 26"/>
        <xdr:cNvSpPr txBox="1"/>
      </xdr:nvSpPr>
      <xdr:spPr>
        <a:xfrm>
          <a:off x="1315085" y="1995170"/>
          <a:ext cx="267970" cy="17081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⑦</a:t>
          </a:r>
        </a:p>
      </xdr:txBody>
    </xdr:sp>
    <xdr:clientData/>
  </xdr:twoCellAnchor>
  <xdr:twoCellAnchor>
    <xdr:from xmlns:xdr="http://schemas.openxmlformats.org/drawingml/2006/spreadsheetDrawing">
      <xdr:col>1</xdr:col>
      <xdr:colOff>5715</xdr:colOff>
      <xdr:row>18</xdr:row>
      <xdr:rowOff>132715</xdr:rowOff>
    </xdr:from>
    <xdr:to xmlns:xdr="http://schemas.openxmlformats.org/drawingml/2006/spreadsheetDrawing">
      <xdr:col>2</xdr:col>
      <xdr:colOff>237490</xdr:colOff>
      <xdr:row>19</xdr:row>
      <xdr:rowOff>159385</xdr:rowOff>
    </xdr:to>
    <xdr:sp macro="" textlink="">
      <xdr:nvSpPr>
        <xdr:cNvPr id="10" name="テキスト ボックス 28"/>
        <xdr:cNvSpPr txBox="1"/>
      </xdr:nvSpPr>
      <xdr:spPr>
        <a:xfrm>
          <a:off x="67310" y="4503420"/>
          <a:ext cx="287655" cy="20637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⑩</a:t>
          </a:r>
        </a:p>
      </xdr:txBody>
    </xdr:sp>
    <xdr:clientData/>
  </xdr:twoCellAnchor>
  <xdr:twoCellAnchor>
    <xdr:from xmlns:xdr="http://schemas.openxmlformats.org/drawingml/2006/spreadsheetDrawing">
      <xdr:col>4</xdr:col>
      <xdr:colOff>603250</xdr:colOff>
      <xdr:row>9</xdr:row>
      <xdr:rowOff>349885</xdr:rowOff>
    </xdr:from>
    <xdr:to xmlns:xdr="http://schemas.openxmlformats.org/drawingml/2006/spreadsheetDrawing">
      <xdr:col>5</xdr:col>
      <xdr:colOff>228600</xdr:colOff>
      <xdr:row>10</xdr:row>
      <xdr:rowOff>173355</xdr:rowOff>
    </xdr:to>
    <xdr:sp macro="" textlink="">
      <xdr:nvSpPr>
        <xdr:cNvPr id="11" name="テキスト ボックス 30"/>
        <xdr:cNvSpPr txBox="1"/>
      </xdr:nvSpPr>
      <xdr:spPr>
        <a:xfrm>
          <a:off x="1325245" y="2346960"/>
          <a:ext cx="267335" cy="20447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⑧</a:t>
          </a:r>
        </a:p>
      </xdr:txBody>
    </xdr:sp>
    <xdr:clientData/>
  </xdr:twoCellAnchor>
  <xdr:twoCellAnchor>
    <xdr:from xmlns:xdr="http://schemas.openxmlformats.org/drawingml/2006/spreadsheetDrawing">
      <xdr:col>4</xdr:col>
      <xdr:colOff>603250</xdr:colOff>
      <xdr:row>11</xdr:row>
      <xdr:rowOff>292735</xdr:rowOff>
    </xdr:from>
    <xdr:to xmlns:xdr="http://schemas.openxmlformats.org/drawingml/2006/spreadsheetDrawing">
      <xdr:col>5</xdr:col>
      <xdr:colOff>228600</xdr:colOff>
      <xdr:row>12</xdr:row>
      <xdr:rowOff>179070</xdr:rowOff>
    </xdr:to>
    <xdr:sp macro="" textlink="">
      <xdr:nvSpPr>
        <xdr:cNvPr id="12" name="テキスト ボックス 37"/>
        <xdr:cNvSpPr txBox="1"/>
      </xdr:nvSpPr>
      <xdr:spPr>
        <a:xfrm>
          <a:off x="1325245" y="2988310"/>
          <a:ext cx="267335" cy="20383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⑨</a:t>
          </a:r>
          <a:endParaRPr kumimoji="1" lang="en-US" altLang="ja-JP" sz="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7</xdr:col>
      <xdr:colOff>450850</xdr:colOff>
      <xdr:row>21</xdr:row>
      <xdr:rowOff>311150</xdr:rowOff>
    </xdr:from>
    <xdr:to xmlns:xdr="http://schemas.openxmlformats.org/drawingml/2006/spreadsheetDrawing">
      <xdr:col>8</xdr:col>
      <xdr:colOff>244475</xdr:colOff>
      <xdr:row>22</xdr:row>
      <xdr:rowOff>186690</xdr:rowOff>
    </xdr:to>
    <xdr:sp macro="" textlink="">
      <xdr:nvSpPr>
        <xdr:cNvPr id="13" name="テキスト ボックス 38"/>
        <xdr:cNvSpPr txBox="1"/>
      </xdr:nvSpPr>
      <xdr:spPr>
        <a:xfrm>
          <a:off x="3703320" y="5261610"/>
          <a:ext cx="273685" cy="20891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⑪</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47</xdr:col>
      <xdr:colOff>9525</xdr:colOff>
      <xdr:row>1</xdr:row>
      <xdr:rowOff>146685</xdr:rowOff>
    </xdr:from>
    <xdr:to xmlns:xdr="http://schemas.openxmlformats.org/drawingml/2006/spreadsheetDrawing">
      <xdr:col>49</xdr:col>
      <xdr:colOff>106045</xdr:colOff>
      <xdr:row>3</xdr:row>
      <xdr:rowOff>40640</xdr:rowOff>
    </xdr:to>
    <xdr:sp macro="" textlink="">
      <xdr:nvSpPr>
        <xdr:cNvPr id="2" name="テキスト ボックス 2"/>
        <xdr:cNvSpPr txBox="1"/>
      </xdr:nvSpPr>
      <xdr:spPr>
        <a:xfrm>
          <a:off x="13931265" y="194310"/>
          <a:ext cx="295275" cy="2019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①</a:t>
          </a:r>
        </a:p>
      </xdr:txBody>
    </xdr:sp>
    <xdr:clientData/>
  </xdr:twoCellAnchor>
  <xdr:twoCellAnchor>
    <xdr:from xmlns:xdr="http://schemas.openxmlformats.org/drawingml/2006/spreadsheetDrawing">
      <xdr:col>65</xdr:col>
      <xdr:colOff>146685</xdr:colOff>
      <xdr:row>1</xdr:row>
      <xdr:rowOff>151130</xdr:rowOff>
    </xdr:from>
    <xdr:to xmlns:xdr="http://schemas.openxmlformats.org/drawingml/2006/spreadsheetDrawing">
      <xdr:col>67</xdr:col>
      <xdr:colOff>22860</xdr:colOff>
      <xdr:row>3</xdr:row>
      <xdr:rowOff>45720</xdr:rowOff>
    </xdr:to>
    <xdr:sp macro="" textlink="">
      <xdr:nvSpPr>
        <xdr:cNvPr id="3" name="テキスト ボックス 4"/>
        <xdr:cNvSpPr txBox="1"/>
      </xdr:nvSpPr>
      <xdr:spPr>
        <a:xfrm>
          <a:off x="17157065" y="198755"/>
          <a:ext cx="287655" cy="2025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②</a:t>
          </a:r>
        </a:p>
      </xdr:txBody>
    </xdr:sp>
    <xdr:clientData/>
  </xdr:twoCellAnchor>
  <xdr:twoCellAnchor>
    <xdr:from xmlns:xdr="http://schemas.openxmlformats.org/drawingml/2006/spreadsheetDrawing">
      <xdr:col>0</xdr:col>
      <xdr:colOff>0</xdr:colOff>
      <xdr:row>5</xdr:row>
      <xdr:rowOff>87630</xdr:rowOff>
    </xdr:from>
    <xdr:to xmlns:xdr="http://schemas.openxmlformats.org/drawingml/2006/spreadsheetDrawing">
      <xdr:col>49</xdr:col>
      <xdr:colOff>100965</xdr:colOff>
      <xdr:row>7</xdr:row>
      <xdr:rowOff>55245</xdr:rowOff>
    </xdr:to>
    <xdr:sp macro="" textlink="">
      <xdr:nvSpPr>
        <xdr:cNvPr id="4" name="テキスト ボックス 6"/>
        <xdr:cNvSpPr txBox="1"/>
      </xdr:nvSpPr>
      <xdr:spPr>
        <a:xfrm>
          <a:off x="0" y="697230"/>
          <a:ext cx="14221460" cy="199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③</a:t>
          </a:r>
        </a:p>
      </xdr:txBody>
    </xdr:sp>
    <xdr:clientData/>
  </xdr:twoCellAnchor>
  <xdr:twoCellAnchor>
    <xdr:from xmlns:xdr="http://schemas.openxmlformats.org/drawingml/2006/spreadsheetDrawing">
      <xdr:col>0</xdr:col>
      <xdr:colOff>0</xdr:colOff>
      <xdr:row>9</xdr:row>
      <xdr:rowOff>58420</xdr:rowOff>
    </xdr:from>
    <xdr:to xmlns:xdr="http://schemas.openxmlformats.org/drawingml/2006/spreadsheetDrawing">
      <xdr:col>49</xdr:col>
      <xdr:colOff>100965</xdr:colOff>
      <xdr:row>11</xdr:row>
      <xdr:rowOff>26035</xdr:rowOff>
    </xdr:to>
    <xdr:sp macro="" textlink="">
      <xdr:nvSpPr>
        <xdr:cNvPr id="5" name="テキスト ボックス 8"/>
        <xdr:cNvSpPr txBox="1"/>
      </xdr:nvSpPr>
      <xdr:spPr>
        <a:xfrm>
          <a:off x="0" y="1109345"/>
          <a:ext cx="14221460" cy="199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④</a:t>
          </a:r>
          <a:endParaRPr kumimoji="1" lang="en-US" altLang="ja-JP" sz="800"/>
        </a:p>
      </xdr:txBody>
    </xdr:sp>
    <xdr:clientData/>
  </xdr:twoCellAnchor>
  <xdr:twoCellAnchor>
    <xdr:from xmlns:xdr="http://schemas.openxmlformats.org/drawingml/2006/spreadsheetDrawing">
      <xdr:col>65</xdr:col>
      <xdr:colOff>146685</xdr:colOff>
      <xdr:row>5</xdr:row>
      <xdr:rowOff>92710</xdr:rowOff>
    </xdr:from>
    <xdr:to xmlns:xdr="http://schemas.openxmlformats.org/drawingml/2006/spreadsheetDrawing">
      <xdr:col>67</xdr:col>
      <xdr:colOff>22860</xdr:colOff>
      <xdr:row>7</xdr:row>
      <xdr:rowOff>60325</xdr:rowOff>
    </xdr:to>
    <xdr:sp macro="" textlink="">
      <xdr:nvSpPr>
        <xdr:cNvPr id="6" name="テキスト ボックス 10"/>
        <xdr:cNvSpPr txBox="1"/>
      </xdr:nvSpPr>
      <xdr:spPr>
        <a:xfrm>
          <a:off x="17157065" y="702310"/>
          <a:ext cx="287655" cy="199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⑤</a:t>
          </a:r>
        </a:p>
      </xdr:txBody>
    </xdr:sp>
    <xdr:clientData/>
  </xdr:twoCellAnchor>
  <xdr:twoCellAnchor>
    <xdr:from xmlns:xdr="http://schemas.openxmlformats.org/drawingml/2006/spreadsheetDrawing">
      <xdr:col>65</xdr:col>
      <xdr:colOff>146685</xdr:colOff>
      <xdr:row>9</xdr:row>
      <xdr:rowOff>68580</xdr:rowOff>
    </xdr:from>
    <xdr:to xmlns:xdr="http://schemas.openxmlformats.org/drawingml/2006/spreadsheetDrawing">
      <xdr:col>67</xdr:col>
      <xdr:colOff>22860</xdr:colOff>
      <xdr:row>11</xdr:row>
      <xdr:rowOff>35560</xdr:rowOff>
    </xdr:to>
    <xdr:sp macro="" textlink="">
      <xdr:nvSpPr>
        <xdr:cNvPr id="7" name="テキスト ボックス 11"/>
        <xdr:cNvSpPr txBox="1"/>
      </xdr:nvSpPr>
      <xdr:spPr>
        <a:xfrm>
          <a:off x="17157065" y="1119505"/>
          <a:ext cx="287655" cy="1987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⑥</a:t>
          </a:r>
        </a:p>
      </xdr:txBody>
    </xdr:sp>
    <xdr:clientData/>
  </xdr:twoCellAnchor>
  <xdr:twoCellAnchor>
    <xdr:from xmlns:xdr="http://schemas.openxmlformats.org/drawingml/2006/spreadsheetDrawing">
      <xdr:col>55</xdr:col>
      <xdr:colOff>97790</xdr:colOff>
      <xdr:row>12</xdr:row>
      <xdr:rowOff>97790</xdr:rowOff>
    </xdr:from>
    <xdr:to xmlns:xdr="http://schemas.openxmlformats.org/drawingml/2006/spreadsheetDrawing">
      <xdr:col>57</xdr:col>
      <xdr:colOff>17780</xdr:colOff>
      <xdr:row>13</xdr:row>
      <xdr:rowOff>167640</xdr:rowOff>
    </xdr:to>
    <xdr:sp macro="" textlink="">
      <xdr:nvSpPr>
        <xdr:cNvPr id="8" name="テキスト ボックス 12"/>
        <xdr:cNvSpPr txBox="1"/>
      </xdr:nvSpPr>
      <xdr:spPr>
        <a:xfrm>
          <a:off x="15094585" y="1507490"/>
          <a:ext cx="287655" cy="196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⑦</a:t>
          </a:r>
        </a:p>
      </xdr:txBody>
    </xdr:sp>
    <xdr:clientData/>
  </xdr:twoCellAnchor>
  <xdr:twoCellAnchor>
    <xdr:from xmlns:xdr="http://schemas.openxmlformats.org/drawingml/2006/spreadsheetDrawing">
      <xdr:col>55</xdr:col>
      <xdr:colOff>102870</xdr:colOff>
      <xdr:row>13</xdr:row>
      <xdr:rowOff>239395</xdr:rowOff>
    </xdr:from>
    <xdr:to xmlns:xdr="http://schemas.openxmlformats.org/drawingml/2006/spreadsheetDrawing">
      <xdr:col>57</xdr:col>
      <xdr:colOff>22860</xdr:colOff>
      <xdr:row>14</xdr:row>
      <xdr:rowOff>167640</xdr:rowOff>
    </xdr:to>
    <xdr:sp macro="" textlink="">
      <xdr:nvSpPr>
        <xdr:cNvPr id="9" name="テキスト ボックス 14"/>
        <xdr:cNvSpPr txBox="1"/>
      </xdr:nvSpPr>
      <xdr:spPr>
        <a:xfrm>
          <a:off x="15099665" y="1776095"/>
          <a:ext cx="287655" cy="194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⑧</a:t>
          </a:r>
        </a:p>
      </xdr:txBody>
    </xdr:sp>
    <xdr:clientData/>
  </xdr:twoCellAnchor>
  <xdr:twoCellAnchor>
    <xdr:from xmlns:xdr="http://schemas.openxmlformats.org/drawingml/2006/spreadsheetDrawing">
      <xdr:col>55</xdr:col>
      <xdr:colOff>102870</xdr:colOff>
      <xdr:row>15</xdr:row>
      <xdr:rowOff>234315</xdr:rowOff>
    </xdr:from>
    <xdr:to xmlns:xdr="http://schemas.openxmlformats.org/drawingml/2006/spreadsheetDrawing">
      <xdr:col>57</xdr:col>
      <xdr:colOff>22860</xdr:colOff>
      <xdr:row>16</xdr:row>
      <xdr:rowOff>161925</xdr:rowOff>
    </xdr:to>
    <xdr:sp macro="" textlink="">
      <xdr:nvSpPr>
        <xdr:cNvPr id="10" name="テキスト ボックス 16"/>
        <xdr:cNvSpPr txBox="1"/>
      </xdr:nvSpPr>
      <xdr:spPr>
        <a:xfrm>
          <a:off x="15099665" y="2304415"/>
          <a:ext cx="287655"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⑨</a:t>
          </a:r>
        </a:p>
      </xdr:txBody>
    </xdr:sp>
    <xdr:clientData/>
  </xdr:twoCellAnchor>
  <xdr:twoCellAnchor>
    <xdr:from xmlns:xdr="http://schemas.openxmlformats.org/drawingml/2006/spreadsheetDrawing">
      <xdr:col>47</xdr:col>
      <xdr:colOff>24130</xdr:colOff>
      <xdr:row>37</xdr:row>
      <xdr:rowOff>34290</xdr:rowOff>
    </xdr:from>
    <xdr:to xmlns:xdr="http://schemas.openxmlformats.org/drawingml/2006/spreadsheetDrawing">
      <xdr:col>49</xdr:col>
      <xdr:colOff>120650</xdr:colOff>
      <xdr:row>39</xdr:row>
      <xdr:rowOff>74930</xdr:rowOff>
    </xdr:to>
    <xdr:sp macro="" textlink="">
      <xdr:nvSpPr>
        <xdr:cNvPr id="11" name="テキスト ボックス 17"/>
        <xdr:cNvSpPr txBox="1"/>
      </xdr:nvSpPr>
      <xdr:spPr>
        <a:xfrm>
          <a:off x="13945870" y="4295140"/>
          <a:ext cx="295275" cy="1930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⑩</a:t>
          </a:r>
        </a:p>
      </xdr:txBody>
    </xdr:sp>
    <xdr:clientData/>
  </xdr:twoCellAnchor>
  <xdr:twoCellAnchor>
    <xdr:from xmlns:xdr="http://schemas.openxmlformats.org/drawingml/2006/spreadsheetDrawing">
      <xdr:col>67</xdr:col>
      <xdr:colOff>166370</xdr:colOff>
      <xdr:row>30</xdr:row>
      <xdr:rowOff>63500</xdr:rowOff>
    </xdr:from>
    <xdr:to xmlns:xdr="http://schemas.openxmlformats.org/drawingml/2006/spreadsheetDrawing">
      <xdr:col>69</xdr:col>
      <xdr:colOff>42545</xdr:colOff>
      <xdr:row>33</xdr:row>
      <xdr:rowOff>55245</xdr:rowOff>
    </xdr:to>
    <xdr:sp macro="" textlink="">
      <xdr:nvSpPr>
        <xdr:cNvPr id="12" name="テキスト ボックス 19"/>
        <xdr:cNvSpPr txBox="1"/>
      </xdr:nvSpPr>
      <xdr:spPr>
        <a:xfrm>
          <a:off x="17588230" y="3873500"/>
          <a:ext cx="287655" cy="194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⑪</a:t>
          </a:r>
        </a:p>
      </xdr:txBody>
    </xdr:sp>
    <xdr:clientData/>
  </xdr:twoCellAnchor>
  <xdr:twoCellAnchor>
    <xdr:from xmlns:xdr="http://schemas.openxmlformats.org/drawingml/2006/spreadsheetDrawing">
      <xdr:col>48</xdr:col>
      <xdr:colOff>63500</xdr:colOff>
      <xdr:row>15</xdr:row>
      <xdr:rowOff>24130</xdr:rowOff>
    </xdr:from>
    <xdr:to xmlns:xdr="http://schemas.openxmlformats.org/drawingml/2006/spreadsheetDrawing">
      <xdr:col>55</xdr:col>
      <xdr:colOff>116840</xdr:colOff>
      <xdr:row>17</xdr:row>
      <xdr:rowOff>243840</xdr:rowOff>
    </xdr:to>
    <xdr:sp macro="" textlink="">
      <xdr:nvSpPr>
        <xdr:cNvPr id="13" name="大かっこ 21"/>
        <xdr:cNvSpPr/>
      </xdr:nvSpPr>
      <xdr:spPr>
        <a:xfrm>
          <a:off x="14053820" y="2094230"/>
          <a:ext cx="1059815" cy="75311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123825</xdr:colOff>
      <xdr:row>23</xdr:row>
      <xdr:rowOff>0</xdr:rowOff>
    </xdr:from>
    <xdr:to xmlns:xdr="http://schemas.openxmlformats.org/drawingml/2006/spreadsheetDrawing">
      <xdr:col>13</xdr:col>
      <xdr:colOff>28575</xdr:colOff>
      <xdr:row>24</xdr:row>
      <xdr:rowOff>0</xdr:rowOff>
    </xdr:to>
    <xdr:sp macro="" textlink="">
      <xdr:nvSpPr>
        <xdr:cNvPr id="2" name="円/楕円 1"/>
        <xdr:cNvSpPr>
          <a:spLocks noChangeArrowheads="1"/>
        </xdr:cNvSpPr>
      </xdr:nvSpPr>
      <xdr:spPr>
        <a:xfrm>
          <a:off x="1732280" y="5381625"/>
          <a:ext cx="392430" cy="26670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6985</xdr:colOff>
      <xdr:row>9</xdr:row>
      <xdr:rowOff>107950</xdr:rowOff>
    </xdr:from>
    <xdr:to xmlns:xdr="http://schemas.openxmlformats.org/drawingml/2006/spreadsheetDrawing">
      <xdr:col>5</xdr:col>
      <xdr:colOff>797560</xdr:colOff>
      <xdr:row>9</xdr:row>
      <xdr:rowOff>107950</xdr:rowOff>
    </xdr:to>
    <xdr:sp macro="" textlink="">
      <xdr:nvSpPr>
        <xdr:cNvPr id="2" name="Line 1"/>
        <xdr:cNvSpPr>
          <a:spLocks noChangeShapeType="1"/>
        </xdr:cNvSpPr>
      </xdr:nvSpPr>
      <xdr:spPr>
        <a:xfrm>
          <a:off x="3496945" y="1774825"/>
          <a:ext cx="1588135"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0</xdr:colOff>
      <xdr:row>6</xdr:row>
      <xdr:rowOff>86995</xdr:rowOff>
    </xdr:from>
    <xdr:to xmlns:xdr="http://schemas.openxmlformats.org/drawingml/2006/spreadsheetDrawing">
      <xdr:col>4</xdr:col>
      <xdr:colOff>797560</xdr:colOff>
      <xdr:row>6</xdr:row>
      <xdr:rowOff>86995</xdr:rowOff>
    </xdr:to>
    <xdr:sp macro="" textlink="">
      <xdr:nvSpPr>
        <xdr:cNvPr id="3" name="Line 2"/>
        <xdr:cNvSpPr>
          <a:spLocks noChangeShapeType="1"/>
        </xdr:cNvSpPr>
      </xdr:nvSpPr>
      <xdr:spPr>
        <a:xfrm>
          <a:off x="3489960" y="1210945"/>
          <a:ext cx="797560"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6985</xdr:colOff>
      <xdr:row>9</xdr:row>
      <xdr:rowOff>86995</xdr:rowOff>
    </xdr:from>
    <xdr:to xmlns:xdr="http://schemas.openxmlformats.org/drawingml/2006/spreadsheetDrawing">
      <xdr:col>5</xdr:col>
      <xdr:colOff>797560</xdr:colOff>
      <xdr:row>9</xdr:row>
      <xdr:rowOff>86995</xdr:rowOff>
    </xdr:to>
    <xdr:sp macro="" textlink="">
      <xdr:nvSpPr>
        <xdr:cNvPr id="2" name="Line 1"/>
        <xdr:cNvSpPr>
          <a:spLocks noChangeShapeType="1"/>
        </xdr:cNvSpPr>
      </xdr:nvSpPr>
      <xdr:spPr>
        <a:xfrm>
          <a:off x="3496945" y="1753870"/>
          <a:ext cx="1588135"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6985</xdr:colOff>
      <xdr:row>6</xdr:row>
      <xdr:rowOff>86995</xdr:rowOff>
    </xdr:from>
    <xdr:to xmlns:xdr="http://schemas.openxmlformats.org/drawingml/2006/spreadsheetDrawing">
      <xdr:col>4</xdr:col>
      <xdr:colOff>797560</xdr:colOff>
      <xdr:row>6</xdr:row>
      <xdr:rowOff>86995</xdr:rowOff>
    </xdr:to>
    <xdr:sp macro="" textlink="">
      <xdr:nvSpPr>
        <xdr:cNvPr id="3" name="Line 2"/>
        <xdr:cNvSpPr>
          <a:spLocks noChangeShapeType="1"/>
        </xdr:cNvSpPr>
      </xdr:nvSpPr>
      <xdr:spPr>
        <a:xfrm>
          <a:off x="3496945" y="1210945"/>
          <a:ext cx="790575"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T52"/>
  <sheetViews>
    <sheetView showGridLines="0" view="pageBreakPreview" zoomScaleSheetLayoutView="100" workbookViewId="0">
      <selection activeCell="T17" sqref="T17"/>
    </sheetView>
  </sheetViews>
  <sheetFormatPr defaultRowHeight="13.2"/>
  <cols>
    <col min="1" max="1" width="0.90625" customWidth="1"/>
    <col min="2" max="2" width="0.81640625" customWidth="1"/>
    <col min="3" max="3" width="3.81640625" customWidth="1"/>
    <col min="4" max="4" width="5" customWidth="1"/>
    <col min="5" max="5" width="9.36328125" customWidth="1"/>
    <col min="6" max="6" width="11.1796875" customWidth="1"/>
    <col min="7" max="7" width="16.36328125" customWidth="1"/>
    <col min="8" max="8" width="7" customWidth="1"/>
    <col min="9" max="9" width="10" customWidth="1"/>
    <col min="10" max="12" width="9.36328125" customWidth="1"/>
    <col min="13" max="13" width="3.81640625" customWidth="1"/>
  </cols>
  <sheetData>
    <row r="1" spans="2:12" ht="3.75" customHeight="1">
      <c r="B1" s="3"/>
      <c r="F1" s="4"/>
    </row>
    <row r="2" spans="2:12" ht="5" customHeight="1">
      <c r="B2" s="3"/>
      <c r="C2" s="1"/>
      <c r="D2" s="1"/>
      <c r="E2" s="1"/>
      <c r="F2" s="4"/>
      <c r="I2" s="30"/>
      <c r="J2" s="91"/>
      <c r="K2" s="30"/>
      <c r="L2" s="30"/>
    </row>
    <row r="3" spans="2:12" ht="13" customHeight="1">
      <c r="B3" s="4"/>
      <c r="C3" s="5" t="s">
        <v>199</v>
      </c>
      <c r="D3" s="27"/>
      <c r="E3" s="27"/>
      <c r="F3" s="4"/>
      <c r="I3" s="30"/>
      <c r="J3" s="30"/>
      <c r="K3" s="30"/>
      <c r="L3" s="30"/>
    </row>
    <row r="4" spans="2:12" ht="50.25" customHeight="1">
      <c r="C4" s="6" t="s">
        <v>51</v>
      </c>
      <c r="D4" s="28"/>
      <c r="E4" s="28"/>
      <c r="F4" s="28"/>
      <c r="G4" s="76"/>
      <c r="H4" s="96" t="s">
        <v>223</v>
      </c>
      <c r="I4" s="112" t="s">
        <v>225</v>
      </c>
      <c r="J4" s="124"/>
      <c r="K4" s="124"/>
      <c r="L4" s="138"/>
    </row>
    <row r="5" spans="2:12" ht="17.25" customHeight="1">
      <c r="C5" s="7" t="s">
        <v>200</v>
      </c>
      <c r="D5" s="29"/>
      <c r="E5" s="49"/>
      <c r="F5" s="59" t="s">
        <v>216</v>
      </c>
      <c r="G5" s="77"/>
      <c r="H5" s="97" t="s">
        <v>1</v>
      </c>
      <c r="I5" s="113" t="s">
        <v>53</v>
      </c>
      <c r="J5" s="125"/>
      <c r="K5" s="125"/>
      <c r="L5" s="139"/>
    </row>
    <row r="6" spans="2:12" ht="7.5" customHeight="1">
      <c r="C6" s="8"/>
      <c r="D6" s="30"/>
      <c r="E6" s="50"/>
      <c r="F6" s="60"/>
      <c r="G6" s="78"/>
      <c r="H6" s="98"/>
      <c r="I6" s="73"/>
      <c r="J6" s="91"/>
      <c r="K6" s="91"/>
      <c r="L6" s="140"/>
    </row>
    <row r="7" spans="2:12" ht="16.5" customHeight="1">
      <c r="C7" s="9"/>
      <c r="D7" s="31"/>
      <c r="E7" s="51"/>
      <c r="F7" s="61"/>
      <c r="G7" s="79"/>
      <c r="H7" s="99"/>
      <c r="I7" s="114" t="s">
        <v>22</v>
      </c>
      <c r="J7" s="126"/>
      <c r="K7" s="126"/>
      <c r="L7" s="141"/>
    </row>
    <row r="8" spans="2:12" ht="22" customHeight="1">
      <c r="C8" s="7" t="s">
        <v>17</v>
      </c>
      <c r="D8" s="29"/>
      <c r="E8" s="49"/>
      <c r="F8" s="59"/>
      <c r="G8" s="80"/>
      <c r="H8" s="100" t="s">
        <v>224</v>
      </c>
      <c r="I8" s="115" t="s">
        <v>226</v>
      </c>
      <c r="J8" s="127"/>
      <c r="K8" s="127"/>
      <c r="L8" s="142"/>
    </row>
    <row r="9" spans="2:12" ht="22" customHeight="1">
      <c r="C9" s="9"/>
      <c r="D9" s="31"/>
      <c r="E9" s="51"/>
      <c r="F9" s="62"/>
      <c r="G9" s="81"/>
      <c r="H9" s="101"/>
      <c r="I9" s="116" t="s">
        <v>56</v>
      </c>
      <c r="J9" s="128"/>
      <c r="K9" s="128"/>
      <c r="L9" s="143"/>
    </row>
    <row r="10" spans="2:12" ht="30" customHeight="1">
      <c r="C10" s="10" t="s">
        <v>9</v>
      </c>
      <c r="D10" s="29"/>
      <c r="E10" s="49"/>
      <c r="F10" s="63" t="s">
        <v>217</v>
      </c>
      <c r="G10" s="82"/>
      <c r="H10" s="82"/>
      <c r="I10" s="82"/>
      <c r="J10" s="82"/>
      <c r="K10" s="82"/>
      <c r="L10" s="144"/>
    </row>
    <row r="11" spans="2:12" ht="25" customHeight="1">
      <c r="C11" s="8"/>
      <c r="D11" s="4"/>
      <c r="E11" s="50"/>
      <c r="F11" s="64" t="s">
        <v>44</v>
      </c>
      <c r="G11" s="82" t="s">
        <v>49</v>
      </c>
      <c r="H11" s="82"/>
      <c r="I11" s="82"/>
      <c r="J11" s="117" t="s">
        <v>48</v>
      </c>
      <c r="K11" s="117"/>
      <c r="L11" s="145"/>
    </row>
    <row r="12" spans="2:12" ht="25" customHeight="1">
      <c r="C12" s="11" t="s">
        <v>0</v>
      </c>
      <c r="D12" s="33"/>
      <c r="E12" s="52"/>
      <c r="F12" s="65"/>
      <c r="G12" s="83" t="s">
        <v>61</v>
      </c>
      <c r="H12" s="82"/>
      <c r="I12" s="82"/>
      <c r="J12" s="117" t="s">
        <v>48</v>
      </c>
      <c r="K12" s="117"/>
      <c r="L12" s="145"/>
    </row>
    <row r="13" spans="2:12" ht="25" customHeight="1">
      <c r="C13" s="11"/>
      <c r="D13" s="33"/>
      <c r="E13" s="52"/>
      <c r="F13" s="64" t="s">
        <v>218</v>
      </c>
      <c r="G13" s="82" t="s">
        <v>220</v>
      </c>
      <c r="H13" s="82"/>
      <c r="I13" s="117" t="s">
        <v>60</v>
      </c>
      <c r="J13" s="129" t="s">
        <v>227</v>
      </c>
      <c r="K13" s="117" t="s">
        <v>48</v>
      </c>
      <c r="L13" s="145"/>
    </row>
    <row r="14" spans="2:12" ht="25" customHeight="1">
      <c r="C14" s="12"/>
      <c r="D14" s="32"/>
      <c r="E14" s="53"/>
      <c r="F14" s="65"/>
      <c r="G14" s="82" t="s">
        <v>59</v>
      </c>
      <c r="H14" s="82"/>
      <c r="I14" s="117" t="s">
        <v>60</v>
      </c>
      <c r="J14" s="129" t="s">
        <v>227</v>
      </c>
      <c r="K14" s="117" t="s">
        <v>48</v>
      </c>
      <c r="L14" s="145"/>
    </row>
    <row r="15" spans="2:12" ht="12" customHeight="1">
      <c r="C15" s="13" t="s">
        <v>201</v>
      </c>
      <c r="D15" s="34" t="s">
        <v>207</v>
      </c>
      <c r="E15" s="49"/>
      <c r="F15" s="66"/>
      <c r="G15" s="84"/>
      <c r="H15" s="84"/>
      <c r="I15" s="84"/>
      <c r="J15" s="84"/>
      <c r="K15" s="84"/>
      <c r="L15" s="146"/>
    </row>
    <row r="16" spans="2:12" ht="12" customHeight="1">
      <c r="C16" s="14"/>
      <c r="D16" s="35"/>
      <c r="E16" s="50"/>
      <c r="F16" s="67"/>
      <c r="G16" s="85"/>
      <c r="H16" s="85"/>
      <c r="I16" s="85"/>
      <c r="J16" s="85"/>
      <c r="K16" s="85"/>
      <c r="L16" s="147"/>
    </row>
    <row r="17" spans="3:12" ht="18.75" customHeight="1">
      <c r="C17" s="15"/>
      <c r="D17" s="36"/>
      <c r="E17" s="51"/>
      <c r="F17" s="36"/>
      <c r="G17" s="86" t="s">
        <v>10</v>
      </c>
      <c r="H17" s="102"/>
      <c r="I17" s="102"/>
      <c r="J17" s="102"/>
      <c r="K17" s="102"/>
      <c r="L17" s="148"/>
    </row>
    <row r="18" spans="3:12" ht="14.15" customHeight="1">
      <c r="C18" s="15"/>
      <c r="D18" s="34" t="s">
        <v>3</v>
      </c>
      <c r="E18" s="49"/>
      <c r="F18" s="66" t="s">
        <v>43</v>
      </c>
      <c r="G18" s="84"/>
      <c r="H18" s="84"/>
      <c r="I18" s="84"/>
      <c r="J18" s="84"/>
      <c r="K18" s="84"/>
      <c r="L18" s="146"/>
    </row>
    <row r="19" spans="3:12" ht="14.15" customHeight="1">
      <c r="C19" s="15"/>
      <c r="D19" s="35"/>
      <c r="E19" s="50"/>
      <c r="F19" s="35"/>
      <c r="G19" s="85"/>
      <c r="H19" s="85"/>
      <c r="I19" s="85"/>
      <c r="J19" s="85"/>
      <c r="K19" s="85"/>
      <c r="L19" s="147"/>
    </row>
    <row r="20" spans="3:12" ht="18.75" customHeight="1">
      <c r="C20" s="15"/>
      <c r="D20" s="36"/>
      <c r="E20" s="51"/>
      <c r="F20" s="36"/>
      <c r="G20" s="86" t="s">
        <v>10</v>
      </c>
      <c r="H20" s="102"/>
      <c r="I20" s="102"/>
      <c r="J20" s="102"/>
      <c r="K20" s="102"/>
      <c r="L20" s="148"/>
    </row>
    <row r="21" spans="3:12" ht="12.75" customHeight="1">
      <c r="C21" s="15"/>
      <c r="D21" s="37" t="s">
        <v>208</v>
      </c>
      <c r="E21" s="54"/>
      <c r="F21" s="68"/>
      <c r="G21" s="87"/>
      <c r="H21" s="103"/>
      <c r="I21" s="34" t="s">
        <v>8</v>
      </c>
      <c r="J21" s="59" t="s">
        <v>228</v>
      </c>
      <c r="K21" s="134"/>
      <c r="L21" s="149"/>
    </row>
    <row r="22" spans="3:12" ht="26.25" customHeight="1">
      <c r="C22" s="15"/>
      <c r="D22" s="36" t="s">
        <v>38</v>
      </c>
      <c r="E22" s="51"/>
      <c r="F22" s="69"/>
      <c r="G22" s="88"/>
      <c r="H22" s="104"/>
      <c r="I22" s="36"/>
      <c r="J22" s="61"/>
      <c r="K22" s="86"/>
      <c r="L22" s="150"/>
    </row>
    <row r="23" spans="3:12" ht="29.25" customHeight="1">
      <c r="C23" s="15"/>
      <c r="D23" s="38" t="s">
        <v>29</v>
      </c>
      <c r="E23" s="55"/>
      <c r="F23" s="38"/>
      <c r="G23" s="89"/>
      <c r="H23" s="55"/>
      <c r="I23" s="38" t="s">
        <v>15</v>
      </c>
      <c r="J23" s="89"/>
      <c r="K23" s="89"/>
      <c r="L23" s="151"/>
    </row>
    <row r="24" spans="3:12" ht="14.15" customHeight="1">
      <c r="C24" s="15"/>
      <c r="D24" s="39" t="s">
        <v>209</v>
      </c>
      <c r="E24" s="49"/>
      <c r="F24" s="70" t="s">
        <v>219</v>
      </c>
      <c r="G24" s="29" t="s">
        <v>221</v>
      </c>
      <c r="H24" s="49"/>
      <c r="I24" s="118" t="s">
        <v>20</v>
      </c>
      <c r="J24" s="84" t="s">
        <v>229</v>
      </c>
      <c r="K24" s="84"/>
      <c r="L24" s="146"/>
    </row>
    <row r="25" spans="3:12" ht="14.15" customHeight="1">
      <c r="C25" s="15"/>
      <c r="D25" s="35"/>
      <c r="E25" s="50"/>
      <c r="F25" s="71"/>
      <c r="G25" s="30"/>
      <c r="H25" s="50"/>
      <c r="I25" s="119"/>
      <c r="J25" s="85"/>
      <c r="K25" s="85"/>
      <c r="L25" s="147"/>
    </row>
    <row r="26" spans="3:12" ht="14.15" customHeight="1">
      <c r="C26" s="15"/>
      <c r="D26" s="36"/>
      <c r="E26" s="51"/>
      <c r="F26" s="72"/>
      <c r="G26" s="31"/>
      <c r="H26" s="51"/>
      <c r="I26" s="119" t="s">
        <v>23</v>
      </c>
      <c r="J26" s="85"/>
      <c r="K26" s="85"/>
      <c r="L26" s="147"/>
    </row>
    <row r="27" spans="3:12" ht="14.15" customHeight="1">
      <c r="C27" s="15"/>
      <c r="D27" s="34" t="s">
        <v>210</v>
      </c>
      <c r="E27" s="49"/>
      <c r="F27" s="39" t="s">
        <v>11</v>
      </c>
      <c r="G27" s="90"/>
      <c r="H27" s="105"/>
      <c r="I27" s="119"/>
      <c r="J27" s="85"/>
      <c r="K27" s="85"/>
      <c r="L27" s="147"/>
    </row>
    <row r="28" spans="3:12" ht="14.15" customHeight="1">
      <c r="C28" s="15"/>
      <c r="D28" s="35"/>
      <c r="E28" s="50"/>
      <c r="F28" s="73"/>
      <c r="G28" s="91"/>
      <c r="H28" s="106"/>
      <c r="I28" s="119" t="s">
        <v>24</v>
      </c>
      <c r="J28" s="85"/>
      <c r="K28" s="85"/>
      <c r="L28" s="147"/>
    </row>
    <row r="29" spans="3:12" ht="14.15" customHeight="1">
      <c r="C29" s="16"/>
      <c r="D29" s="40"/>
      <c r="E29" s="56"/>
      <c r="F29" s="74"/>
      <c r="G29" s="92"/>
      <c r="H29" s="107"/>
      <c r="I29" s="120"/>
      <c r="J29" s="130"/>
      <c r="K29" s="130"/>
      <c r="L29" s="152"/>
    </row>
    <row r="30" spans="3:12" ht="12" customHeight="1">
      <c r="C30" s="17" t="s">
        <v>202</v>
      </c>
      <c r="D30" s="41" t="s">
        <v>25</v>
      </c>
      <c r="E30" s="57" t="s">
        <v>35</v>
      </c>
      <c r="F30" s="57"/>
      <c r="G30" s="35" t="s">
        <v>26</v>
      </c>
      <c r="H30" s="30"/>
      <c r="I30" s="50"/>
      <c r="J30" s="35" t="s">
        <v>230</v>
      </c>
      <c r="K30" s="30"/>
      <c r="L30" s="50"/>
    </row>
    <row r="31" spans="3:12" ht="12" customHeight="1">
      <c r="C31" s="17"/>
      <c r="D31" s="42"/>
      <c r="E31" s="58"/>
      <c r="F31" s="58"/>
      <c r="G31" s="35"/>
      <c r="H31" s="30"/>
      <c r="I31" s="50"/>
      <c r="J31" s="35"/>
      <c r="K31" s="30"/>
      <c r="L31" s="50"/>
    </row>
    <row r="32" spans="3:12" ht="12" customHeight="1">
      <c r="C32" s="17"/>
      <c r="D32" s="42"/>
      <c r="E32" s="58"/>
      <c r="F32" s="58"/>
      <c r="G32" s="35"/>
      <c r="H32" s="30"/>
      <c r="I32" s="50"/>
      <c r="J32" s="36"/>
      <c r="K32" s="31"/>
      <c r="L32" s="51"/>
    </row>
    <row r="33" spans="3:12" ht="12" customHeight="1">
      <c r="C33" s="17"/>
      <c r="D33" s="42" t="s">
        <v>211</v>
      </c>
      <c r="E33" s="58" t="s">
        <v>214</v>
      </c>
      <c r="F33" s="58"/>
      <c r="G33" s="34" t="s">
        <v>31</v>
      </c>
      <c r="H33" s="29"/>
      <c r="I33" s="49"/>
      <c r="J33" s="131" t="s">
        <v>21</v>
      </c>
      <c r="K33" s="135"/>
      <c r="L33" s="153"/>
    </row>
    <row r="34" spans="3:12" ht="12" customHeight="1">
      <c r="C34" s="17"/>
      <c r="D34" s="42"/>
      <c r="E34" s="58"/>
      <c r="F34" s="58"/>
      <c r="G34" s="35"/>
      <c r="H34" s="30"/>
      <c r="I34" s="50"/>
      <c r="J34" s="132"/>
      <c r="K34" s="136"/>
      <c r="L34" s="154"/>
    </row>
    <row r="35" spans="3:12" ht="12" customHeight="1">
      <c r="C35" s="17"/>
      <c r="D35" s="42"/>
      <c r="E35" s="58"/>
      <c r="F35" s="58"/>
      <c r="G35" s="36"/>
      <c r="H35" s="31"/>
      <c r="I35" s="51"/>
      <c r="J35" s="132"/>
      <c r="K35" s="136"/>
      <c r="L35" s="154"/>
    </row>
    <row r="36" spans="3:12" ht="12" customHeight="1">
      <c r="C36" s="17"/>
      <c r="D36" s="42" t="s">
        <v>212</v>
      </c>
      <c r="E36" s="58" t="s">
        <v>215</v>
      </c>
      <c r="F36" s="58"/>
      <c r="G36" s="93" t="s">
        <v>4</v>
      </c>
      <c r="H36" s="108"/>
      <c r="I36" s="121"/>
      <c r="J36" s="132"/>
      <c r="K36" s="136"/>
      <c r="L36" s="154"/>
    </row>
    <row r="37" spans="3:12" ht="12" customHeight="1">
      <c r="C37" s="17"/>
      <c r="D37" s="42"/>
      <c r="E37" s="58"/>
      <c r="F37" s="58"/>
      <c r="G37" s="94"/>
      <c r="H37" s="109"/>
      <c r="I37" s="122"/>
      <c r="J37" s="132"/>
      <c r="K37" s="136"/>
      <c r="L37" s="154"/>
    </row>
    <row r="38" spans="3:12" ht="12" customHeight="1">
      <c r="C38" s="17"/>
      <c r="D38" s="42"/>
      <c r="E38" s="58"/>
      <c r="F38" s="58"/>
      <c r="G38" s="95"/>
      <c r="H38" s="110"/>
      <c r="I38" s="123"/>
      <c r="J38" s="132"/>
      <c r="K38" s="136"/>
      <c r="L38" s="154"/>
    </row>
    <row r="39" spans="3:12" ht="12" customHeight="1">
      <c r="C39" s="17"/>
      <c r="D39" s="43" t="s">
        <v>213</v>
      </c>
      <c r="E39" s="58" t="s">
        <v>13</v>
      </c>
      <c r="F39" s="58"/>
      <c r="G39" s="34" t="s">
        <v>222</v>
      </c>
      <c r="H39" s="29"/>
      <c r="I39" s="49"/>
      <c r="J39" s="132"/>
      <c r="K39" s="136"/>
      <c r="L39" s="154"/>
    </row>
    <row r="40" spans="3:12" ht="12" customHeight="1">
      <c r="C40" s="17"/>
      <c r="D40" s="44"/>
      <c r="E40" s="58"/>
      <c r="F40" s="58"/>
      <c r="G40" s="35"/>
      <c r="H40" s="30"/>
      <c r="I40" s="50"/>
      <c r="J40" s="132"/>
      <c r="K40" s="136"/>
      <c r="L40" s="154"/>
    </row>
    <row r="41" spans="3:12" ht="12" customHeight="1">
      <c r="C41" s="18"/>
      <c r="D41" s="44"/>
      <c r="E41" s="58"/>
      <c r="F41" s="58"/>
      <c r="G41" s="36"/>
      <c r="H41" s="31"/>
      <c r="I41" s="51"/>
      <c r="J41" s="133"/>
      <c r="K41" s="137"/>
      <c r="L41" s="155"/>
    </row>
    <row r="42" spans="3:12" ht="21.75" customHeight="1">
      <c r="C42" s="19" t="s">
        <v>203</v>
      </c>
    </row>
    <row r="43" spans="3:12" ht="15" customHeight="1"/>
    <row r="44" spans="3:12" ht="36.75" customHeight="1">
      <c r="C44" s="20" t="s">
        <v>37</v>
      </c>
      <c r="D44" s="45"/>
      <c r="E44" s="45"/>
      <c r="F44" s="45"/>
      <c r="G44" s="45"/>
      <c r="H44" s="45"/>
      <c r="I44" s="45"/>
      <c r="J44" s="45"/>
      <c r="K44" s="45"/>
      <c r="L44" s="156"/>
    </row>
    <row r="45" spans="3:12" s="1" customFormat="1" ht="3.75" customHeight="1">
      <c r="C45" s="21"/>
      <c r="D45" s="46"/>
      <c r="E45" s="46"/>
      <c r="F45" s="46"/>
      <c r="G45" s="46"/>
      <c r="H45" s="46"/>
      <c r="I45" s="46"/>
      <c r="J45" s="46"/>
      <c r="K45" s="46"/>
      <c r="L45" s="157"/>
    </row>
    <row r="46" spans="3:12" s="1" customFormat="1" ht="20.25" customHeight="1">
      <c r="C46" s="21" t="s">
        <v>204</v>
      </c>
      <c r="D46" s="46"/>
      <c r="E46" s="46"/>
      <c r="F46" s="46"/>
      <c r="G46" s="46"/>
      <c r="H46" s="46"/>
      <c r="I46" s="46"/>
      <c r="J46" s="46"/>
      <c r="K46" s="46"/>
      <c r="L46" s="157"/>
    </row>
    <row r="47" spans="3:12" s="1" customFormat="1" ht="20.25" customHeight="1">
      <c r="C47" s="21" t="s">
        <v>205</v>
      </c>
      <c r="D47" s="46"/>
      <c r="E47" s="46"/>
      <c r="F47" s="46"/>
      <c r="G47" s="46"/>
      <c r="H47" s="46"/>
      <c r="I47" s="46"/>
      <c r="J47" s="46"/>
      <c r="K47" s="46"/>
      <c r="L47" s="157"/>
    </row>
    <row r="48" spans="3:12" s="2" customFormat="1" ht="20.25" customHeight="1">
      <c r="C48" s="22" t="s">
        <v>206</v>
      </c>
      <c r="D48" s="47"/>
      <c r="E48" s="47"/>
      <c r="F48" s="47"/>
      <c r="G48" s="47"/>
      <c r="H48" s="47"/>
      <c r="I48" s="47"/>
      <c r="J48" s="47"/>
      <c r="K48" s="47"/>
      <c r="L48" s="158"/>
    </row>
    <row r="49" spans="3:20" ht="13.95">
      <c r="C49" s="25"/>
      <c r="G49" s="30" t="s">
        <v>46</v>
      </c>
      <c r="H49" s="111"/>
      <c r="I49" s="111"/>
      <c r="J49" s="111"/>
      <c r="L49" s="161"/>
    </row>
    <row r="50" spans="3:20" ht="13.95">
      <c r="C50" s="26"/>
      <c r="D50" s="48"/>
      <c r="E50" s="48"/>
      <c r="F50" s="75"/>
      <c r="G50" s="75"/>
      <c r="H50" s="75"/>
      <c r="I50" s="75"/>
      <c r="J50" s="75"/>
      <c r="K50" s="75"/>
      <c r="L50" s="162"/>
      <c r="M50" s="1"/>
      <c r="N50" s="1"/>
      <c r="O50" s="1"/>
      <c r="P50" s="1"/>
      <c r="Q50" s="1"/>
      <c r="R50" s="1"/>
      <c r="S50" s="1"/>
      <c r="T50" s="1"/>
    </row>
    <row r="51" spans="3:20" ht="13.95">
      <c r="F51" s="1"/>
      <c r="G51" s="1"/>
      <c r="H51" s="1"/>
      <c r="I51" s="1"/>
      <c r="J51" s="1"/>
      <c r="K51" s="1"/>
      <c r="L51" s="1"/>
      <c r="M51" s="163"/>
      <c r="N51" s="163"/>
      <c r="O51" s="163"/>
      <c r="P51" s="163"/>
      <c r="Q51" s="163"/>
      <c r="R51" s="163"/>
      <c r="S51" s="163"/>
      <c r="T51" s="1"/>
    </row>
    <row r="52" spans="3:20">
      <c r="F52" s="1"/>
      <c r="G52" s="1"/>
      <c r="H52" s="1"/>
      <c r="I52" s="1"/>
      <c r="J52" s="1"/>
      <c r="K52" s="1"/>
      <c r="L52" s="1"/>
      <c r="M52" s="163"/>
      <c r="N52" s="163"/>
      <c r="O52" s="163"/>
      <c r="P52" s="163"/>
      <c r="Q52" s="163"/>
      <c r="R52" s="163"/>
      <c r="S52" s="163"/>
      <c r="T52" s="1"/>
    </row>
  </sheetData>
  <mergeCells count="73">
    <mergeCell ref="C3:E3"/>
    <mergeCell ref="C4:G4"/>
    <mergeCell ref="I4:L4"/>
    <mergeCell ref="I5:L5"/>
    <mergeCell ref="I6:L6"/>
    <mergeCell ref="I7:L7"/>
    <mergeCell ref="I8:L8"/>
    <mergeCell ref="I9:L9"/>
    <mergeCell ref="F10:L10"/>
    <mergeCell ref="G11:I11"/>
    <mergeCell ref="J11:L11"/>
    <mergeCell ref="G12:I12"/>
    <mergeCell ref="J12:L12"/>
    <mergeCell ref="K13:L13"/>
    <mergeCell ref="K14:L14"/>
    <mergeCell ref="H17:L17"/>
    <mergeCell ref="H20:L20"/>
    <mergeCell ref="D21:E21"/>
    <mergeCell ref="G21:H21"/>
    <mergeCell ref="D22:E22"/>
    <mergeCell ref="F22:H22"/>
    <mergeCell ref="D23:E23"/>
    <mergeCell ref="F23:H23"/>
    <mergeCell ref="I23:L23"/>
    <mergeCell ref="C44:L44"/>
    <mergeCell ref="C45:L45"/>
    <mergeCell ref="C46:L46"/>
    <mergeCell ref="C47:L47"/>
    <mergeCell ref="C48:L48"/>
    <mergeCell ref="H49:J49"/>
    <mergeCell ref="C5:E7"/>
    <mergeCell ref="F5:G7"/>
    <mergeCell ref="H5:H7"/>
    <mergeCell ref="C8:E9"/>
    <mergeCell ref="F8:G9"/>
    <mergeCell ref="H8:H9"/>
    <mergeCell ref="C10:E11"/>
    <mergeCell ref="F11:F12"/>
    <mergeCell ref="C12:E14"/>
    <mergeCell ref="F13:F14"/>
    <mergeCell ref="D15:E17"/>
    <mergeCell ref="F15:L16"/>
    <mergeCell ref="D18:E20"/>
    <mergeCell ref="G18:L19"/>
    <mergeCell ref="I21:I22"/>
    <mergeCell ref="J21:L22"/>
    <mergeCell ref="D24:E26"/>
    <mergeCell ref="F24:F26"/>
    <mergeCell ref="G24:H26"/>
    <mergeCell ref="I24:I25"/>
    <mergeCell ref="J24:L25"/>
    <mergeCell ref="I26:I27"/>
    <mergeCell ref="J26:L27"/>
    <mergeCell ref="D27:E29"/>
    <mergeCell ref="F27:H29"/>
    <mergeCell ref="I28:I29"/>
    <mergeCell ref="J28:L29"/>
    <mergeCell ref="D30:D32"/>
    <mergeCell ref="E30:F32"/>
    <mergeCell ref="G30:I32"/>
    <mergeCell ref="J30:L32"/>
    <mergeCell ref="D33:D35"/>
    <mergeCell ref="E33:F35"/>
    <mergeCell ref="G33:I35"/>
    <mergeCell ref="D36:D38"/>
    <mergeCell ref="E36:F38"/>
    <mergeCell ref="G36:I38"/>
    <mergeCell ref="D39:D41"/>
    <mergeCell ref="E39:F41"/>
    <mergeCell ref="G39:I41"/>
    <mergeCell ref="C15:C29"/>
    <mergeCell ref="C30:C41"/>
    <mergeCell ref="J33:L41"/>
  </mergeCells>
  <phoneticPr fontId="2"/>
  <printOptions horizontalCentered="1"/>
  <pageMargins left="0.7" right="0.7" top="0.75" bottom="0.75" header="0.3" footer="0.3"/>
  <pageSetup paperSize="9" scale="9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W2:CA95"/>
  <sheetViews>
    <sheetView showGridLines="0" tabSelected="1" view="pageBreakPreview" topLeftCell="AV1" zoomScaleSheetLayoutView="100" workbookViewId="0">
      <selection activeCell="BB50" sqref="BB50:BR51"/>
    </sheetView>
  </sheetViews>
  <sheetFormatPr defaultRowHeight="13.2"/>
  <cols>
    <col min="1" max="44" width="4" hidden="1" customWidth="1"/>
    <col min="45" max="47" width="9" hidden="1" customWidth="1"/>
    <col min="48" max="48" width="1" customWidth="1"/>
    <col min="49" max="52" width="1.90625" customWidth="1"/>
    <col min="53" max="56" width="2.36328125" customWidth="1"/>
    <col min="57" max="79" width="3" customWidth="1"/>
    <col min="80" max="84" width="2.453125" customWidth="1"/>
  </cols>
  <sheetData>
    <row r="1" spans="49:79" ht="3.75" customHeight="1"/>
    <row r="2" spans="49:79" ht="14.25" customHeight="1">
      <c r="AW2" s="164" t="s">
        <v>146</v>
      </c>
      <c r="BP2" s="269"/>
      <c r="BQ2" s="269"/>
      <c r="BR2" s="269"/>
      <c r="BS2" s="269"/>
      <c r="BT2" s="269"/>
      <c r="BU2" s="269"/>
      <c r="BV2" s="269"/>
      <c r="BW2" s="269"/>
      <c r="BX2" s="269"/>
      <c r="BY2" s="269"/>
      <c r="BZ2" s="269"/>
      <c r="CA2" s="269"/>
    </row>
    <row r="3" spans="49:79" ht="10" customHeight="1">
      <c r="AW3" s="165" t="s">
        <v>147</v>
      </c>
      <c r="AX3" s="182"/>
      <c r="AY3" s="182"/>
      <c r="AZ3" s="182"/>
      <c r="BA3" s="182"/>
      <c r="BB3" s="221"/>
      <c r="BC3" s="221"/>
      <c r="BD3" s="221"/>
      <c r="BE3" s="221"/>
      <c r="BF3" s="221"/>
      <c r="BG3" s="221"/>
      <c r="BH3" s="250" t="s">
        <v>171</v>
      </c>
      <c r="BI3" s="250"/>
      <c r="BJ3" s="250"/>
      <c r="BK3" s="250"/>
      <c r="BL3" s="250"/>
      <c r="BM3" s="250"/>
      <c r="BN3" s="259"/>
      <c r="BO3" s="264" t="s">
        <v>178</v>
      </c>
      <c r="BP3" s="270"/>
      <c r="BQ3" s="276"/>
      <c r="BR3" s="282" t="s">
        <v>181</v>
      </c>
      <c r="BS3" s="290"/>
      <c r="BT3" s="290"/>
      <c r="BU3" s="290"/>
      <c r="BV3" s="290"/>
      <c r="BW3" s="290"/>
      <c r="BX3" s="290"/>
      <c r="BY3" s="290"/>
      <c r="BZ3" s="290"/>
      <c r="CA3" s="329"/>
    </row>
    <row r="4" spans="49:79" ht="10" customHeight="1">
      <c r="AW4" s="166"/>
      <c r="AX4" s="183"/>
      <c r="AY4" s="183"/>
      <c r="AZ4" s="183"/>
      <c r="BA4" s="183"/>
      <c r="BB4" s="184"/>
      <c r="BC4" s="184"/>
      <c r="BD4" s="184"/>
      <c r="BE4" s="184"/>
      <c r="BF4" s="184"/>
      <c r="BG4" s="184"/>
      <c r="BH4" s="1"/>
      <c r="BI4" s="1"/>
      <c r="BJ4" s="1"/>
      <c r="BK4" s="1"/>
      <c r="BL4" s="1"/>
      <c r="BM4" s="1"/>
      <c r="BN4" s="257"/>
      <c r="BO4" s="265"/>
      <c r="BP4" s="271"/>
      <c r="BQ4" s="277"/>
      <c r="BR4" s="231"/>
      <c r="BS4" s="238"/>
      <c r="BT4" s="238"/>
      <c r="BU4" s="238"/>
      <c r="BV4" s="238"/>
      <c r="BW4" s="238"/>
      <c r="BX4" s="238"/>
      <c r="BY4" s="238"/>
      <c r="BZ4" s="238"/>
      <c r="CA4" s="330"/>
    </row>
    <row r="5" spans="49:79" ht="10" customHeight="1">
      <c r="AW5" s="167"/>
      <c r="AX5" s="184"/>
      <c r="AY5" s="184"/>
      <c r="AZ5" s="184"/>
      <c r="BA5" s="184"/>
      <c r="BB5" s="184"/>
      <c r="BC5" s="184"/>
      <c r="BD5" s="184"/>
      <c r="BE5" s="184"/>
      <c r="BF5" s="184"/>
      <c r="BG5" s="184"/>
      <c r="BH5" s="1"/>
      <c r="BI5" s="1"/>
      <c r="BJ5" s="1"/>
      <c r="BK5" s="1"/>
      <c r="BL5" s="1"/>
      <c r="BM5" s="1"/>
      <c r="BN5" s="257"/>
      <c r="BO5" s="265"/>
      <c r="BP5" s="271"/>
      <c r="BQ5" s="277"/>
      <c r="BR5" s="231"/>
      <c r="BS5" s="238"/>
      <c r="BT5" s="238"/>
      <c r="BU5" s="238"/>
      <c r="BV5" s="238"/>
      <c r="BW5" s="238"/>
      <c r="BX5" s="238"/>
      <c r="BY5" s="238"/>
      <c r="BZ5" s="238"/>
      <c r="CA5" s="330"/>
    </row>
    <row r="6" spans="49:79" ht="10" customHeight="1">
      <c r="AW6" s="168"/>
      <c r="AX6" s="110"/>
      <c r="AY6" s="110"/>
      <c r="AZ6" s="110"/>
      <c r="BA6" s="110"/>
      <c r="BB6" s="110"/>
      <c r="BC6" s="110"/>
      <c r="BD6" s="110"/>
      <c r="BE6" s="110"/>
      <c r="BF6" s="110"/>
      <c r="BG6" s="110"/>
      <c r="BH6" s="251"/>
      <c r="BI6" s="251"/>
      <c r="BJ6" s="251"/>
      <c r="BK6" s="251"/>
      <c r="BL6" s="251"/>
      <c r="BM6" s="251"/>
      <c r="BN6" s="81"/>
      <c r="BO6" s="266"/>
      <c r="BP6" s="272"/>
      <c r="BQ6" s="278"/>
      <c r="BR6" s="232"/>
      <c r="BS6" s="239"/>
      <c r="BT6" s="239"/>
      <c r="BU6" s="239"/>
      <c r="BV6" s="239"/>
      <c r="BW6" s="239"/>
      <c r="BX6" s="239"/>
      <c r="BY6" s="239"/>
      <c r="BZ6" s="239"/>
      <c r="CA6" s="331"/>
    </row>
    <row r="7" spans="49:79" ht="8.25" customHeight="1">
      <c r="AW7" s="169" t="s">
        <v>148</v>
      </c>
      <c r="AX7" s="185"/>
      <c r="AY7" s="185"/>
      <c r="AZ7" s="185"/>
      <c r="BA7" s="185"/>
      <c r="BB7" s="185"/>
      <c r="BC7" s="185"/>
      <c r="BD7" s="222"/>
      <c r="BE7" s="230" t="s">
        <v>40</v>
      </c>
      <c r="BF7" s="245"/>
      <c r="BG7" s="245"/>
      <c r="BH7" s="245"/>
      <c r="BI7" s="245"/>
      <c r="BJ7" s="245"/>
      <c r="BK7" s="245"/>
      <c r="BL7" s="245"/>
      <c r="BM7" s="245"/>
      <c r="BN7" s="260"/>
      <c r="BO7" s="267" t="s">
        <v>1</v>
      </c>
      <c r="BP7" s="273"/>
      <c r="BQ7" s="279"/>
      <c r="BR7" s="37" t="s">
        <v>50</v>
      </c>
      <c r="BS7" s="208"/>
      <c r="BT7" s="208"/>
      <c r="BU7" s="208"/>
      <c r="BV7" s="208"/>
      <c r="BW7" s="208"/>
      <c r="BX7" s="208"/>
      <c r="BY7" s="208"/>
      <c r="BZ7" s="208"/>
      <c r="CA7" s="332"/>
    </row>
    <row r="8" spans="49:79" ht="8.25" customHeight="1">
      <c r="AW8" s="170"/>
      <c r="AX8" s="186"/>
      <c r="AY8" s="186"/>
      <c r="AZ8" s="186"/>
      <c r="BA8" s="186"/>
      <c r="BB8" s="186"/>
      <c r="BC8" s="186"/>
      <c r="BD8" s="223"/>
      <c r="BE8" s="231"/>
      <c r="BF8" s="238"/>
      <c r="BG8" s="238"/>
      <c r="BH8" s="238"/>
      <c r="BI8" s="238"/>
      <c r="BJ8" s="238"/>
      <c r="BK8" s="238"/>
      <c r="BL8" s="238"/>
      <c r="BM8" s="238"/>
      <c r="BN8" s="261"/>
      <c r="BO8" s="265"/>
      <c r="BP8" s="271"/>
      <c r="BQ8" s="277"/>
      <c r="BR8" s="195"/>
      <c r="BS8" s="209"/>
      <c r="BT8" s="209"/>
      <c r="BU8" s="209"/>
      <c r="BV8" s="209"/>
      <c r="BW8" s="209"/>
      <c r="BX8" s="209"/>
      <c r="BY8" s="209"/>
      <c r="BZ8" s="209"/>
      <c r="CA8" s="333"/>
    </row>
    <row r="9" spans="49:79" ht="8.25" customHeight="1">
      <c r="AW9" s="170"/>
      <c r="AX9" s="186"/>
      <c r="AY9" s="186"/>
      <c r="AZ9" s="186"/>
      <c r="BA9" s="186"/>
      <c r="BB9" s="186"/>
      <c r="BC9" s="186"/>
      <c r="BD9" s="223"/>
      <c r="BE9" s="231"/>
      <c r="BF9" s="238"/>
      <c r="BG9" s="238"/>
      <c r="BH9" s="238"/>
      <c r="BI9" s="238"/>
      <c r="BJ9" s="238"/>
      <c r="BK9" s="238"/>
      <c r="BL9" s="238"/>
      <c r="BM9" s="238"/>
      <c r="BN9" s="261"/>
      <c r="BO9" s="265"/>
      <c r="BP9" s="271"/>
      <c r="BQ9" s="277"/>
      <c r="BR9" s="195" t="s">
        <v>182</v>
      </c>
      <c r="BS9" s="209"/>
      <c r="BT9" s="209"/>
      <c r="BU9" s="209"/>
      <c r="BV9" s="209"/>
      <c r="BW9" s="209"/>
      <c r="BX9" s="209"/>
      <c r="BY9" s="209"/>
      <c r="BZ9" s="209"/>
      <c r="CA9" s="333"/>
    </row>
    <row r="10" spans="49:79" ht="8.25" customHeight="1">
      <c r="AW10" s="171"/>
      <c r="AX10" s="187"/>
      <c r="AY10" s="187"/>
      <c r="AZ10" s="187"/>
      <c r="BA10" s="187"/>
      <c r="BB10" s="187"/>
      <c r="BC10" s="187"/>
      <c r="BD10" s="224"/>
      <c r="BE10" s="232"/>
      <c r="BF10" s="239"/>
      <c r="BG10" s="239"/>
      <c r="BH10" s="239"/>
      <c r="BI10" s="239"/>
      <c r="BJ10" s="239"/>
      <c r="BK10" s="239"/>
      <c r="BL10" s="239"/>
      <c r="BM10" s="239"/>
      <c r="BN10" s="262"/>
      <c r="BO10" s="266"/>
      <c r="BP10" s="272"/>
      <c r="BQ10" s="278"/>
      <c r="BR10" s="196"/>
      <c r="BS10" s="210"/>
      <c r="BT10" s="210"/>
      <c r="BU10" s="210"/>
      <c r="BV10" s="210"/>
      <c r="BW10" s="210"/>
      <c r="BX10" s="210"/>
      <c r="BY10" s="210"/>
      <c r="BZ10" s="210"/>
      <c r="CA10" s="334"/>
    </row>
    <row r="11" spans="49:79" ht="10" customHeight="1">
      <c r="AW11" s="172" t="s">
        <v>27</v>
      </c>
      <c r="AX11" s="185"/>
      <c r="AY11" s="185"/>
      <c r="AZ11" s="185"/>
      <c r="BA11" s="185"/>
      <c r="BB11" s="185"/>
      <c r="BC11" s="185"/>
      <c r="BD11" s="222"/>
      <c r="BE11" s="233" t="s">
        <v>32</v>
      </c>
      <c r="BF11" s="245"/>
      <c r="BG11" s="245"/>
      <c r="BH11" s="245"/>
      <c r="BI11" s="245"/>
      <c r="BJ11" s="245"/>
      <c r="BK11" s="245"/>
      <c r="BL11" s="245"/>
      <c r="BM11" s="245"/>
      <c r="BN11" s="260"/>
      <c r="BO11" s="267" t="s">
        <v>179</v>
      </c>
      <c r="BP11" s="273"/>
      <c r="BQ11" s="279"/>
      <c r="BR11" s="283" t="s">
        <v>183</v>
      </c>
      <c r="BS11" s="291"/>
      <c r="BT11" s="291"/>
      <c r="BU11" s="291"/>
      <c r="BV11" s="291"/>
      <c r="BW11" s="291"/>
      <c r="BX11" s="291"/>
      <c r="BY11" s="291"/>
      <c r="BZ11" s="291"/>
      <c r="CA11" s="335"/>
    </row>
    <row r="12" spans="49:79" ht="10" customHeight="1">
      <c r="AW12" s="170"/>
      <c r="AX12" s="186"/>
      <c r="AY12" s="186"/>
      <c r="AZ12" s="186"/>
      <c r="BA12" s="186"/>
      <c r="BB12" s="186"/>
      <c r="BC12" s="186"/>
      <c r="BD12" s="223"/>
      <c r="BE12" s="231"/>
      <c r="BF12" s="238"/>
      <c r="BG12" s="238"/>
      <c r="BH12" s="238"/>
      <c r="BI12" s="238"/>
      <c r="BJ12" s="238"/>
      <c r="BK12" s="238"/>
      <c r="BL12" s="238"/>
      <c r="BM12" s="238"/>
      <c r="BN12" s="261"/>
      <c r="BO12" s="265"/>
      <c r="BP12" s="271"/>
      <c r="BQ12" s="277"/>
      <c r="BR12" s="284"/>
      <c r="BS12" s="292"/>
      <c r="BT12" s="292"/>
      <c r="BU12" s="292"/>
      <c r="BV12" s="292"/>
      <c r="BW12" s="292"/>
      <c r="BX12" s="292"/>
      <c r="BY12" s="292"/>
      <c r="BZ12" s="292"/>
      <c r="CA12" s="336"/>
    </row>
    <row r="13" spans="49:79" ht="10" customHeight="1">
      <c r="AW13" s="171"/>
      <c r="AX13" s="187"/>
      <c r="AY13" s="187"/>
      <c r="AZ13" s="187"/>
      <c r="BA13" s="187"/>
      <c r="BB13" s="187"/>
      <c r="BC13" s="187"/>
      <c r="BD13" s="224"/>
      <c r="BE13" s="232"/>
      <c r="BF13" s="239"/>
      <c r="BG13" s="239"/>
      <c r="BH13" s="239"/>
      <c r="BI13" s="239"/>
      <c r="BJ13" s="239"/>
      <c r="BK13" s="239"/>
      <c r="BL13" s="239"/>
      <c r="BM13" s="239"/>
      <c r="BN13" s="262"/>
      <c r="BO13" s="266"/>
      <c r="BP13" s="272"/>
      <c r="BQ13" s="278"/>
      <c r="BR13" s="285"/>
      <c r="BS13" s="293"/>
      <c r="BT13" s="293"/>
      <c r="BU13" s="293"/>
      <c r="BV13" s="293"/>
      <c r="BW13" s="293"/>
      <c r="BX13" s="293"/>
      <c r="BY13" s="293"/>
      <c r="BZ13" s="293"/>
      <c r="CA13" s="337"/>
    </row>
    <row r="14" spans="49:79" ht="21" customHeight="1">
      <c r="AW14" s="169" t="s">
        <v>9</v>
      </c>
      <c r="AX14" s="29"/>
      <c r="AY14" s="29"/>
      <c r="AZ14" s="29"/>
      <c r="BA14" s="29"/>
      <c r="BB14" s="29"/>
      <c r="BC14" s="29"/>
      <c r="BD14" s="49"/>
      <c r="BE14" s="234" t="s">
        <v>163</v>
      </c>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338"/>
    </row>
    <row r="15" spans="49:79" ht="21" customHeight="1">
      <c r="AW15" s="173"/>
      <c r="AX15" s="4"/>
      <c r="AY15" s="4"/>
      <c r="AZ15" s="4"/>
      <c r="BA15" s="4"/>
      <c r="BB15" s="4"/>
      <c r="BC15" s="4"/>
      <c r="BD15" s="50"/>
      <c r="BE15" s="235" t="s">
        <v>52</v>
      </c>
      <c r="BF15" s="247"/>
      <c r="BG15" s="247"/>
      <c r="BH15" s="121"/>
      <c r="BI15" s="252" t="s">
        <v>49</v>
      </c>
      <c r="BJ15" s="246"/>
      <c r="BK15" s="246"/>
      <c r="BL15" s="246"/>
      <c r="BM15" s="246"/>
      <c r="BN15" s="246"/>
      <c r="BO15" s="246"/>
      <c r="BP15" s="246"/>
      <c r="BQ15" s="280"/>
      <c r="BR15" s="280"/>
      <c r="BS15" s="294"/>
      <c r="BT15" s="294"/>
      <c r="BU15" s="294"/>
      <c r="BV15" s="294"/>
      <c r="BW15" s="294"/>
      <c r="BX15" s="294"/>
      <c r="BY15" s="294"/>
      <c r="BZ15" s="294" t="s">
        <v>48</v>
      </c>
      <c r="CA15" s="339"/>
    </row>
    <row r="16" spans="49:79" ht="21" customHeight="1">
      <c r="AW16" s="174" t="s">
        <v>0</v>
      </c>
      <c r="AX16" s="189"/>
      <c r="AY16" s="189"/>
      <c r="AZ16" s="189"/>
      <c r="BA16" s="189"/>
      <c r="BB16" s="189"/>
      <c r="BC16" s="189"/>
      <c r="BD16" s="225"/>
      <c r="BE16" s="236"/>
      <c r="BF16" s="248"/>
      <c r="BG16" s="248"/>
      <c r="BH16" s="123"/>
      <c r="BI16" s="234" t="s">
        <v>172</v>
      </c>
      <c r="BJ16" s="246"/>
      <c r="BK16" s="246"/>
      <c r="BL16" s="246"/>
      <c r="BM16" s="246"/>
      <c r="BN16" s="246"/>
      <c r="BO16" s="246"/>
      <c r="BP16" s="246"/>
      <c r="BQ16" s="82"/>
      <c r="BR16" s="82"/>
      <c r="BS16" s="82"/>
      <c r="BT16" s="294"/>
      <c r="BU16" s="294"/>
      <c r="BV16" s="294"/>
      <c r="BW16" s="294"/>
      <c r="BX16" s="294"/>
      <c r="BY16" s="294"/>
      <c r="BZ16" s="294" t="s">
        <v>48</v>
      </c>
      <c r="CA16" s="339"/>
    </row>
    <row r="17" spans="49:79" ht="21" customHeight="1">
      <c r="AW17" s="175"/>
      <c r="AX17" s="189"/>
      <c r="AY17" s="189"/>
      <c r="AZ17" s="189"/>
      <c r="BA17" s="189"/>
      <c r="BB17" s="189"/>
      <c r="BC17" s="189"/>
      <c r="BD17" s="225"/>
      <c r="BE17" s="237" t="s">
        <v>115</v>
      </c>
      <c r="BF17" s="184"/>
      <c r="BG17" s="184"/>
      <c r="BH17" s="122"/>
      <c r="BI17" s="252" t="s">
        <v>49</v>
      </c>
      <c r="BJ17" s="246"/>
      <c r="BK17" s="246"/>
      <c r="BL17" s="246"/>
      <c r="BM17" s="246"/>
      <c r="BN17" s="246"/>
      <c r="BO17" s="246"/>
      <c r="BP17" s="246"/>
      <c r="BQ17" s="281" t="s">
        <v>60</v>
      </c>
      <c r="BR17" s="286" t="s">
        <v>185</v>
      </c>
      <c r="BS17" s="83"/>
      <c r="BT17" s="83"/>
      <c r="BU17" s="83"/>
      <c r="BV17" s="83"/>
      <c r="BW17" s="294"/>
      <c r="BX17" s="294"/>
      <c r="BY17" s="294"/>
      <c r="BZ17" s="294" t="s">
        <v>48</v>
      </c>
      <c r="CA17" s="339"/>
    </row>
    <row r="18" spans="49:79" ht="21" customHeight="1">
      <c r="AW18" s="176"/>
      <c r="AX18" s="188"/>
      <c r="AY18" s="188"/>
      <c r="AZ18" s="188"/>
      <c r="BA18" s="188"/>
      <c r="BB18" s="188"/>
      <c r="BC18" s="188"/>
      <c r="BD18" s="226"/>
      <c r="BE18" s="94"/>
      <c r="BF18" s="184"/>
      <c r="BG18" s="184"/>
      <c r="BH18" s="122"/>
      <c r="BI18" s="252" t="s">
        <v>59</v>
      </c>
      <c r="BJ18" s="246"/>
      <c r="BK18" s="246"/>
      <c r="BL18" s="246"/>
      <c r="BM18" s="246"/>
      <c r="BN18" s="246"/>
      <c r="BO18" s="246"/>
      <c r="BP18" s="246"/>
      <c r="BQ18" s="281" t="s">
        <v>60</v>
      </c>
      <c r="BR18" s="286" t="s">
        <v>185</v>
      </c>
      <c r="BS18" s="83"/>
      <c r="BT18" s="83"/>
      <c r="BU18" s="83"/>
      <c r="BV18" s="314"/>
      <c r="BW18" s="294"/>
      <c r="BX18" s="294"/>
      <c r="BY18" s="294"/>
      <c r="BZ18" s="294" t="s">
        <v>48</v>
      </c>
      <c r="CA18" s="339"/>
    </row>
    <row r="19" spans="49:79" ht="5.25" customHeight="1">
      <c r="AW19" s="177" t="s">
        <v>119</v>
      </c>
      <c r="AX19" s="190"/>
      <c r="AY19" s="118" t="s">
        <v>127</v>
      </c>
      <c r="AZ19" s="185"/>
      <c r="BA19" s="185"/>
      <c r="BB19" s="185"/>
      <c r="BC19" s="185"/>
      <c r="BD19" s="222"/>
      <c r="BE19" s="200"/>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340"/>
    </row>
    <row r="20" spans="49:79" ht="5.25" customHeight="1">
      <c r="AW20" s="178"/>
      <c r="AX20" s="191"/>
      <c r="AY20" s="119"/>
      <c r="AZ20" s="186"/>
      <c r="BA20" s="186"/>
      <c r="BB20" s="186"/>
      <c r="BC20" s="186"/>
      <c r="BD20" s="223"/>
      <c r="BE20" s="198"/>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341"/>
    </row>
    <row r="21" spans="49:79" ht="5.25" customHeight="1">
      <c r="AW21" s="178"/>
      <c r="AX21" s="191"/>
      <c r="AY21" s="119"/>
      <c r="AZ21" s="186"/>
      <c r="BA21" s="186"/>
      <c r="BB21" s="186"/>
      <c r="BC21" s="186"/>
      <c r="BD21" s="223"/>
      <c r="BE21" s="231"/>
      <c r="BF21" s="238"/>
      <c r="BG21" s="238"/>
      <c r="BH21" s="238"/>
      <c r="BI21" s="238"/>
      <c r="BJ21" s="238"/>
      <c r="BK21" s="238"/>
      <c r="BL21" s="215"/>
      <c r="BM21" s="186"/>
      <c r="BN21" s="186"/>
      <c r="BP21" s="212"/>
      <c r="BQ21" s="212" t="s">
        <v>10</v>
      </c>
      <c r="BR21" s="254"/>
      <c r="BS21" s="254"/>
      <c r="BT21" s="254"/>
      <c r="BU21" s="254"/>
      <c r="BV21" s="254"/>
      <c r="BW21" s="254"/>
      <c r="BX21" s="254"/>
      <c r="BY21" s="254"/>
      <c r="BZ21" s="254"/>
      <c r="CA21" s="342"/>
    </row>
    <row r="22" spans="49:79" ht="5.25" customHeight="1">
      <c r="AW22" s="178"/>
      <c r="AX22" s="191"/>
      <c r="AY22" s="194"/>
      <c r="AZ22" s="187"/>
      <c r="BA22" s="187"/>
      <c r="BB22" s="187"/>
      <c r="BC22" s="187"/>
      <c r="BD22" s="224"/>
      <c r="BE22" s="232"/>
      <c r="BF22" s="239"/>
      <c r="BG22" s="239"/>
      <c r="BH22" s="239"/>
      <c r="BI22" s="239"/>
      <c r="BJ22" s="239"/>
      <c r="BK22" s="239"/>
      <c r="BL22" s="216"/>
      <c r="BM22" s="187"/>
      <c r="BN22" s="187"/>
      <c r="BO22" s="213"/>
      <c r="BP22" s="213"/>
      <c r="BQ22" s="102"/>
      <c r="BR22" s="102"/>
      <c r="BS22" s="102"/>
      <c r="BT22" s="102"/>
      <c r="BU22" s="102"/>
      <c r="BV22" s="102"/>
      <c r="BW22" s="102"/>
      <c r="BX22" s="102"/>
      <c r="BY22" s="102"/>
      <c r="BZ22" s="102"/>
      <c r="CA22" s="343"/>
    </row>
    <row r="23" spans="49:79" ht="6.75" customHeight="1">
      <c r="AW23" s="178"/>
      <c r="AX23" s="191"/>
      <c r="AY23" s="118" t="s">
        <v>3</v>
      </c>
      <c r="AZ23" s="185"/>
      <c r="BA23" s="185"/>
      <c r="BB23" s="185"/>
      <c r="BC23" s="185"/>
      <c r="BD23" s="222"/>
      <c r="BE23" s="200" t="s">
        <v>43</v>
      </c>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340"/>
    </row>
    <row r="24" spans="49:79" ht="6.75" customHeight="1">
      <c r="AW24" s="178"/>
      <c r="AX24" s="191"/>
      <c r="AY24" s="119"/>
      <c r="AZ24" s="186"/>
      <c r="BA24" s="186"/>
      <c r="BB24" s="186"/>
      <c r="BC24" s="186"/>
      <c r="BD24" s="223"/>
      <c r="BE24" s="198"/>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341"/>
    </row>
    <row r="25" spans="49:79" ht="6.75" customHeight="1">
      <c r="AW25" s="178"/>
      <c r="AX25" s="191"/>
      <c r="AY25" s="119"/>
      <c r="AZ25" s="186"/>
      <c r="BA25" s="186"/>
      <c r="BB25" s="186"/>
      <c r="BC25" s="186"/>
      <c r="BD25" s="223"/>
      <c r="BE25" s="238"/>
      <c r="BF25" s="238"/>
      <c r="BG25" s="238"/>
      <c r="BH25" s="238"/>
      <c r="BI25" s="238"/>
      <c r="BJ25" s="238"/>
      <c r="BK25" s="238"/>
      <c r="BL25" s="215"/>
      <c r="BM25" s="186"/>
      <c r="BN25" s="186"/>
      <c r="BO25" s="212"/>
      <c r="BP25" s="212"/>
      <c r="BQ25" s="212" t="s">
        <v>10</v>
      </c>
      <c r="BR25" s="254"/>
      <c r="BS25" s="254"/>
      <c r="BT25" s="254"/>
      <c r="BU25" s="254"/>
      <c r="BV25" s="254"/>
      <c r="BW25" s="254"/>
      <c r="BX25" s="254"/>
      <c r="BY25" s="254"/>
      <c r="BZ25" s="254"/>
      <c r="CA25" s="342"/>
    </row>
    <row r="26" spans="49:79" ht="6.75" customHeight="1">
      <c r="AW26" s="178"/>
      <c r="AX26" s="191"/>
      <c r="AY26" s="194"/>
      <c r="AZ26" s="187"/>
      <c r="BA26" s="187"/>
      <c r="BB26" s="187"/>
      <c r="BC26" s="187"/>
      <c r="BD26" s="224"/>
      <c r="BE26" s="239"/>
      <c r="BF26" s="239"/>
      <c r="BG26" s="239"/>
      <c r="BH26" s="239"/>
      <c r="BI26" s="239"/>
      <c r="BJ26" s="239"/>
      <c r="BK26" s="239"/>
      <c r="BL26" s="239"/>
      <c r="BM26" s="187"/>
      <c r="BN26" s="187"/>
      <c r="BO26" s="213"/>
      <c r="BP26" s="213"/>
      <c r="BQ26" s="102"/>
      <c r="BR26" s="102"/>
      <c r="BS26" s="102"/>
      <c r="BT26" s="102"/>
      <c r="BU26" s="102"/>
      <c r="BV26" s="102"/>
      <c r="BW26" s="102"/>
      <c r="BX26" s="102"/>
      <c r="BY26" s="102"/>
      <c r="BZ26" s="102"/>
      <c r="CA26" s="343"/>
    </row>
    <row r="27" spans="49:79" ht="6" customHeight="1">
      <c r="AW27" s="178"/>
      <c r="AX27" s="191"/>
      <c r="AY27" s="118" t="s">
        <v>151</v>
      </c>
      <c r="AZ27" s="185"/>
      <c r="BA27" s="185"/>
      <c r="BB27" s="185"/>
      <c r="BC27" s="185"/>
      <c r="BD27" s="222"/>
      <c r="BE27" s="118"/>
      <c r="BF27" s="185"/>
      <c r="BG27" s="185"/>
      <c r="BH27" s="185"/>
      <c r="BI27" s="185"/>
      <c r="BJ27" s="185"/>
      <c r="BK27" s="29"/>
      <c r="BL27" s="29"/>
      <c r="BM27" s="49"/>
      <c r="BN27" s="118" t="s">
        <v>8</v>
      </c>
      <c r="BO27" s="268"/>
      <c r="BP27" s="274" t="s">
        <v>140</v>
      </c>
      <c r="BQ27" s="134"/>
      <c r="BR27" s="77"/>
      <c r="BS27" s="185" t="s">
        <v>186</v>
      </c>
      <c r="BT27" s="185"/>
      <c r="BU27" s="185"/>
      <c r="BV27" s="185"/>
      <c r="BW27" s="274" t="s">
        <v>196</v>
      </c>
      <c r="BX27" s="274"/>
      <c r="BY27" s="274"/>
      <c r="BZ27" s="274"/>
      <c r="CA27" s="344"/>
    </row>
    <row r="28" spans="49:79" ht="6" customHeight="1">
      <c r="AW28" s="178"/>
      <c r="AX28" s="191"/>
      <c r="AY28" s="119"/>
      <c r="AZ28" s="186"/>
      <c r="BA28" s="186"/>
      <c r="BB28" s="186"/>
      <c r="BC28" s="186"/>
      <c r="BD28" s="223"/>
      <c r="BE28" s="240"/>
      <c r="BF28" s="249"/>
      <c r="BG28" s="249"/>
      <c r="BH28" s="249"/>
      <c r="BI28" s="249"/>
      <c r="BJ28" s="249"/>
      <c r="BK28" s="255"/>
      <c r="BL28" s="255"/>
      <c r="BM28" s="256"/>
      <c r="BN28" s="263"/>
      <c r="BO28" s="163"/>
      <c r="BP28" s="275"/>
      <c r="BQ28" s="275"/>
      <c r="BR28" s="78"/>
      <c r="BS28" s="186"/>
      <c r="BT28" s="186"/>
      <c r="BU28" s="186"/>
      <c r="BV28" s="186"/>
      <c r="BW28" s="215"/>
      <c r="BX28" s="215"/>
      <c r="BY28" s="215"/>
      <c r="BZ28" s="215"/>
      <c r="CA28" s="345"/>
    </row>
    <row r="29" spans="49:79" ht="7" customHeight="1">
      <c r="AW29" s="178"/>
      <c r="AX29" s="191"/>
      <c r="AY29" s="119" t="s">
        <v>12</v>
      </c>
      <c r="AZ29" s="186"/>
      <c r="BA29" s="186"/>
      <c r="BB29" s="186"/>
      <c r="BC29" s="186"/>
      <c r="BD29" s="223"/>
      <c r="BE29" s="201"/>
      <c r="BF29" s="215"/>
      <c r="BG29" s="215"/>
      <c r="BH29" s="215"/>
      <c r="BI29" s="215"/>
      <c r="BJ29" s="215"/>
      <c r="BK29" s="1"/>
      <c r="BL29" s="1"/>
      <c r="BM29" s="257"/>
      <c r="BN29" s="263"/>
      <c r="BO29" s="163"/>
      <c r="BP29" s="275"/>
      <c r="BQ29" s="275"/>
      <c r="BR29" s="78"/>
      <c r="BS29" s="186"/>
      <c r="BT29" s="186"/>
      <c r="BU29" s="186"/>
      <c r="BV29" s="186"/>
      <c r="BW29" s="215"/>
      <c r="BX29" s="215"/>
      <c r="BY29" s="215"/>
      <c r="BZ29" s="215"/>
      <c r="CA29" s="345"/>
    </row>
    <row r="30" spans="49:79" ht="7" customHeight="1">
      <c r="AW30" s="178"/>
      <c r="AX30" s="191"/>
      <c r="AY30" s="119"/>
      <c r="AZ30" s="186"/>
      <c r="BA30" s="186"/>
      <c r="BB30" s="186"/>
      <c r="BC30" s="186"/>
      <c r="BD30" s="223"/>
      <c r="BE30" s="201"/>
      <c r="BF30" s="215"/>
      <c r="BG30" s="215"/>
      <c r="BH30" s="215"/>
      <c r="BI30" s="215"/>
      <c r="BJ30" s="215"/>
      <c r="BK30" s="1"/>
      <c r="BL30" s="1"/>
      <c r="BM30" s="257"/>
      <c r="BN30" s="263"/>
      <c r="BO30" s="163"/>
      <c r="BP30" s="275"/>
      <c r="BQ30" s="275"/>
      <c r="BR30" s="78"/>
      <c r="BS30" s="186"/>
      <c r="BT30" s="186"/>
      <c r="BU30" s="186"/>
      <c r="BV30" s="186"/>
      <c r="BW30" s="215"/>
      <c r="BX30" s="215"/>
      <c r="BY30" s="215"/>
      <c r="BZ30" s="215"/>
      <c r="CA30" s="345"/>
    </row>
    <row r="31" spans="49:79" ht="7" customHeight="1">
      <c r="AW31" s="178"/>
      <c r="AX31" s="191"/>
      <c r="AY31" s="194"/>
      <c r="AZ31" s="187"/>
      <c r="BA31" s="187"/>
      <c r="BB31" s="187"/>
      <c r="BC31" s="187"/>
      <c r="BD31" s="224"/>
      <c r="BE31" s="202"/>
      <c r="BF31" s="216"/>
      <c r="BG31" s="216"/>
      <c r="BH31" s="216"/>
      <c r="BI31" s="216"/>
      <c r="BJ31" s="216"/>
      <c r="BK31" s="251"/>
      <c r="BL31" s="251"/>
      <c r="BM31" s="81"/>
      <c r="BN31" s="62"/>
      <c r="BO31" s="251"/>
      <c r="BP31" s="86"/>
      <c r="BQ31" s="86"/>
      <c r="BR31" s="79"/>
      <c r="BS31" s="187"/>
      <c r="BT31" s="187"/>
      <c r="BU31" s="187"/>
      <c r="BV31" s="187"/>
      <c r="BW31" s="216"/>
      <c r="BX31" s="216"/>
      <c r="BY31" s="216"/>
      <c r="BZ31" s="216"/>
      <c r="CA31" s="346"/>
    </row>
    <row r="32" spans="49:79" ht="4.5" customHeight="1">
      <c r="AW32" s="178"/>
      <c r="AX32" s="191"/>
      <c r="AY32" s="37" t="s">
        <v>29</v>
      </c>
      <c r="AZ32" s="208"/>
      <c r="BA32" s="208"/>
      <c r="BB32" s="208"/>
      <c r="BC32" s="208"/>
      <c r="BD32" s="54"/>
      <c r="BE32" s="118"/>
      <c r="BF32" s="185"/>
      <c r="BG32" s="185"/>
      <c r="BH32" s="185"/>
      <c r="BI32" s="185"/>
      <c r="BJ32" s="185"/>
      <c r="BK32" s="185"/>
      <c r="BL32" s="185"/>
      <c r="BM32" s="185"/>
      <c r="BN32" s="185"/>
      <c r="BO32" s="185"/>
      <c r="BP32" s="222"/>
      <c r="BQ32" s="118" t="s">
        <v>180</v>
      </c>
      <c r="BR32" s="185"/>
      <c r="BS32" s="185"/>
      <c r="BT32" s="185"/>
      <c r="BU32" s="185"/>
      <c r="BV32" s="185"/>
      <c r="BW32" s="185"/>
      <c r="BX32" s="185"/>
      <c r="BY32" s="185"/>
      <c r="BZ32" s="185"/>
      <c r="CA32" s="347"/>
    </row>
    <row r="33" spans="49:79" ht="4.5" customHeight="1">
      <c r="AW33" s="178"/>
      <c r="AX33" s="191"/>
      <c r="AY33" s="195"/>
      <c r="AZ33" s="209"/>
      <c r="BA33" s="209"/>
      <c r="BB33" s="209"/>
      <c r="BC33" s="209"/>
      <c r="BD33" s="227"/>
      <c r="BE33" s="119"/>
      <c r="BF33" s="186"/>
      <c r="BG33" s="186"/>
      <c r="BH33" s="186"/>
      <c r="BI33" s="186"/>
      <c r="BJ33" s="186"/>
      <c r="BK33" s="186"/>
      <c r="BL33" s="186"/>
      <c r="BM33" s="186"/>
      <c r="BN33" s="186"/>
      <c r="BO33" s="186"/>
      <c r="BP33" s="223"/>
      <c r="BQ33" s="119"/>
      <c r="BR33" s="186"/>
      <c r="BS33" s="186"/>
      <c r="BT33" s="186"/>
      <c r="BU33" s="186"/>
      <c r="BV33" s="186"/>
      <c r="BW33" s="186"/>
      <c r="BX33" s="186"/>
      <c r="BY33" s="186"/>
      <c r="BZ33" s="186"/>
      <c r="CA33" s="348"/>
    </row>
    <row r="34" spans="49:79" ht="4.5" customHeight="1">
      <c r="AW34" s="178"/>
      <c r="AX34" s="191"/>
      <c r="AY34" s="195"/>
      <c r="AZ34" s="209"/>
      <c r="BA34" s="209"/>
      <c r="BB34" s="209"/>
      <c r="BC34" s="209"/>
      <c r="BD34" s="227"/>
      <c r="BE34" s="119"/>
      <c r="BF34" s="186"/>
      <c r="BG34" s="186"/>
      <c r="BH34" s="186"/>
      <c r="BI34" s="186"/>
      <c r="BJ34" s="186"/>
      <c r="BK34" s="186"/>
      <c r="BL34" s="186"/>
      <c r="BM34" s="186"/>
      <c r="BN34" s="186"/>
      <c r="BO34" s="186"/>
      <c r="BP34" s="223"/>
      <c r="BQ34" s="119"/>
      <c r="BR34" s="186"/>
      <c r="BS34" s="186"/>
      <c r="BT34" s="186"/>
      <c r="BU34" s="186"/>
      <c r="BV34" s="186"/>
      <c r="BW34" s="186"/>
      <c r="BX34" s="186"/>
      <c r="BY34" s="186"/>
      <c r="BZ34" s="186"/>
      <c r="CA34" s="348"/>
    </row>
    <row r="35" spans="49:79" ht="4.5" customHeight="1">
      <c r="AW35" s="178"/>
      <c r="AX35" s="191"/>
      <c r="AY35" s="195"/>
      <c r="AZ35" s="209"/>
      <c r="BA35" s="209"/>
      <c r="BB35" s="209"/>
      <c r="BC35" s="209"/>
      <c r="BD35" s="227"/>
      <c r="BE35" s="119"/>
      <c r="BF35" s="186"/>
      <c r="BG35" s="186"/>
      <c r="BH35" s="186"/>
      <c r="BI35" s="186"/>
      <c r="BJ35" s="186"/>
      <c r="BK35" s="186"/>
      <c r="BL35" s="186"/>
      <c r="BM35" s="186"/>
      <c r="BN35" s="186"/>
      <c r="BO35" s="186"/>
      <c r="BP35" s="223"/>
      <c r="BQ35" s="119"/>
      <c r="BR35" s="186"/>
      <c r="BS35" s="186"/>
      <c r="BT35" s="186"/>
      <c r="BU35" s="186"/>
      <c r="BV35" s="186"/>
      <c r="BW35" s="186"/>
      <c r="BX35" s="186"/>
      <c r="BY35" s="186"/>
      <c r="BZ35" s="186"/>
      <c r="CA35" s="348"/>
    </row>
    <row r="36" spans="49:79" ht="4.5" customHeight="1">
      <c r="AW36" s="178"/>
      <c r="AX36" s="191"/>
      <c r="AY36" s="196"/>
      <c r="AZ36" s="210"/>
      <c r="BA36" s="210"/>
      <c r="BB36" s="210"/>
      <c r="BC36" s="210"/>
      <c r="BD36" s="228"/>
      <c r="BE36" s="194"/>
      <c r="BF36" s="187"/>
      <c r="BG36" s="187"/>
      <c r="BH36" s="187"/>
      <c r="BI36" s="187"/>
      <c r="BJ36" s="187"/>
      <c r="BK36" s="187"/>
      <c r="BL36" s="187"/>
      <c r="BM36" s="187"/>
      <c r="BN36" s="187"/>
      <c r="BO36" s="187"/>
      <c r="BP36" s="224"/>
      <c r="BQ36" s="194"/>
      <c r="BR36" s="187"/>
      <c r="BS36" s="187"/>
      <c r="BT36" s="187"/>
      <c r="BU36" s="187"/>
      <c r="BV36" s="187"/>
      <c r="BW36" s="187"/>
      <c r="BX36" s="187"/>
      <c r="BY36" s="187"/>
      <c r="BZ36" s="187"/>
      <c r="CA36" s="349"/>
    </row>
    <row r="37" spans="49:79" ht="6" customHeight="1">
      <c r="AW37" s="178"/>
      <c r="AX37" s="191"/>
      <c r="AY37" s="37" t="s">
        <v>152</v>
      </c>
      <c r="AZ37" s="208"/>
      <c r="BA37" s="208"/>
      <c r="BB37" s="208"/>
      <c r="BC37" s="208"/>
      <c r="BD37" s="54"/>
      <c r="BE37" s="37" t="s">
        <v>166</v>
      </c>
      <c r="BF37" s="208"/>
      <c r="BG37" s="185" t="s">
        <v>170</v>
      </c>
      <c r="BH37" s="185"/>
      <c r="BI37" s="185"/>
      <c r="BJ37" s="185"/>
      <c r="BK37" s="185"/>
      <c r="BL37" s="185"/>
      <c r="BM37" s="185"/>
      <c r="BN37" s="185"/>
      <c r="BO37" s="185"/>
      <c r="BP37" s="222"/>
      <c r="BQ37" s="118" t="s">
        <v>20</v>
      </c>
      <c r="BR37" s="185"/>
      <c r="BS37" s="185"/>
      <c r="BT37" s="185"/>
      <c r="BU37" s="185"/>
      <c r="BV37" s="185"/>
      <c r="BW37" s="185"/>
      <c r="BX37" s="185"/>
      <c r="BY37" s="185"/>
      <c r="BZ37" s="185"/>
      <c r="CA37" s="347"/>
    </row>
    <row r="38" spans="49:79" ht="6" customHeight="1">
      <c r="AW38" s="178"/>
      <c r="AX38" s="191"/>
      <c r="AY38" s="195"/>
      <c r="AZ38" s="209"/>
      <c r="BA38" s="209"/>
      <c r="BB38" s="209"/>
      <c r="BC38" s="209"/>
      <c r="BD38" s="227"/>
      <c r="BE38" s="195"/>
      <c r="BF38" s="209"/>
      <c r="BG38" s="186"/>
      <c r="BH38" s="186"/>
      <c r="BI38" s="186"/>
      <c r="BJ38" s="186"/>
      <c r="BK38" s="186"/>
      <c r="BL38" s="186"/>
      <c r="BM38" s="186"/>
      <c r="BN38" s="186"/>
      <c r="BO38" s="186"/>
      <c r="BP38" s="223"/>
      <c r="BQ38" s="119"/>
      <c r="BR38" s="186"/>
      <c r="BS38" s="186"/>
      <c r="BT38" s="186"/>
      <c r="BU38" s="186"/>
      <c r="BV38" s="186"/>
      <c r="BW38" s="186"/>
      <c r="BX38" s="186"/>
      <c r="BY38" s="186"/>
      <c r="BZ38" s="186"/>
      <c r="CA38" s="348"/>
    </row>
    <row r="39" spans="49:79" ht="6" customHeight="1">
      <c r="AW39" s="178"/>
      <c r="AX39" s="191"/>
      <c r="AY39" s="195"/>
      <c r="AZ39" s="209"/>
      <c r="BA39" s="209"/>
      <c r="BB39" s="209"/>
      <c r="BC39" s="209"/>
      <c r="BD39" s="227"/>
      <c r="BE39" s="195"/>
      <c r="BF39" s="209"/>
      <c r="BG39" s="186"/>
      <c r="BH39" s="186"/>
      <c r="BI39" s="186"/>
      <c r="BJ39" s="186"/>
      <c r="BK39" s="186"/>
      <c r="BL39" s="186"/>
      <c r="BM39" s="186"/>
      <c r="BN39" s="186"/>
      <c r="BO39" s="186"/>
      <c r="BP39" s="223"/>
      <c r="BQ39" s="119"/>
      <c r="BR39" s="186"/>
      <c r="BS39" s="186"/>
      <c r="BT39" s="186"/>
      <c r="BU39" s="186"/>
      <c r="BV39" s="186"/>
      <c r="BW39" s="186"/>
      <c r="BX39" s="186"/>
      <c r="BY39" s="186"/>
      <c r="BZ39" s="186"/>
      <c r="CA39" s="348"/>
    </row>
    <row r="40" spans="49:79" ht="6" customHeight="1">
      <c r="AW40" s="178"/>
      <c r="AX40" s="191"/>
      <c r="AY40" s="195"/>
      <c r="AZ40" s="209"/>
      <c r="BA40" s="209"/>
      <c r="BB40" s="209"/>
      <c r="BC40" s="209"/>
      <c r="BD40" s="227"/>
      <c r="BE40" s="195"/>
      <c r="BF40" s="209"/>
      <c r="BG40" s="186"/>
      <c r="BH40" s="186"/>
      <c r="BI40" s="186"/>
      <c r="BJ40" s="186"/>
      <c r="BK40" s="186"/>
      <c r="BL40" s="186"/>
      <c r="BM40" s="186"/>
      <c r="BN40" s="186"/>
      <c r="BO40" s="186"/>
      <c r="BP40" s="223"/>
      <c r="BQ40" s="119"/>
      <c r="BR40" s="186"/>
      <c r="BS40" s="186"/>
      <c r="BT40" s="186"/>
      <c r="BU40" s="186"/>
      <c r="BV40" s="186"/>
      <c r="BW40" s="186"/>
      <c r="BX40" s="186"/>
      <c r="BY40" s="186"/>
      <c r="BZ40" s="186"/>
      <c r="CA40" s="348"/>
    </row>
    <row r="41" spans="49:79" ht="6" customHeight="1">
      <c r="AW41" s="178"/>
      <c r="AX41" s="191"/>
      <c r="AY41" s="195"/>
      <c r="AZ41" s="209"/>
      <c r="BA41" s="209"/>
      <c r="BB41" s="209"/>
      <c r="BC41" s="209"/>
      <c r="BD41" s="227"/>
      <c r="BE41" s="195"/>
      <c r="BF41" s="209"/>
      <c r="BG41" s="186"/>
      <c r="BH41" s="186"/>
      <c r="BI41" s="186"/>
      <c r="BJ41" s="186"/>
      <c r="BK41" s="186"/>
      <c r="BL41" s="186"/>
      <c r="BM41" s="186"/>
      <c r="BN41" s="186"/>
      <c r="BO41" s="186"/>
      <c r="BP41" s="223"/>
      <c r="BQ41" s="119" t="s">
        <v>23</v>
      </c>
      <c r="BR41" s="186"/>
      <c r="BS41" s="186"/>
      <c r="BT41" s="186"/>
      <c r="BU41" s="186"/>
      <c r="BV41" s="186"/>
      <c r="BW41" s="186"/>
      <c r="BX41" s="186"/>
      <c r="BY41" s="186"/>
      <c r="BZ41" s="186"/>
      <c r="CA41" s="348"/>
    </row>
    <row r="42" spans="49:79" ht="6" customHeight="1">
      <c r="AW42" s="178"/>
      <c r="AX42" s="191"/>
      <c r="AY42" s="195"/>
      <c r="AZ42" s="209"/>
      <c r="BA42" s="209"/>
      <c r="BB42" s="209"/>
      <c r="BC42" s="209"/>
      <c r="BD42" s="227"/>
      <c r="BE42" s="195"/>
      <c r="BF42" s="209"/>
      <c r="BG42" s="186"/>
      <c r="BH42" s="186"/>
      <c r="BI42" s="186"/>
      <c r="BJ42" s="186"/>
      <c r="BK42" s="186"/>
      <c r="BL42" s="186"/>
      <c r="BM42" s="186"/>
      <c r="BN42" s="186"/>
      <c r="BO42" s="186"/>
      <c r="BP42" s="223"/>
      <c r="BQ42" s="119"/>
      <c r="BR42" s="186"/>
      <c r="BS42" s="186"/>
      <c r="BT42" s="186"/>
      <c r="BU42" s="186"/>
      <c r="BV42" s="186"/>
      <c r="BW42" s="186"/>
      <c r="BX42" s="186"/>
      <c r="BY42" s="186"/>
      <c r="BZ42" s="186"/>
      <c r="CA42" s="348"/>
    </row>
    <row r="43" spans="49:79" ht="6" customHeight="1">
      <c r="AW43" s="178"/>
      <c r="AX43" s="191"/>
      <c r="AY43" s="195"/>
      <c r="AZ43" s="209"/>
      <c r="BA43" s="209"/>
      <c r="BB43" s="209"/>
      <c r="BC43" s="209"/>
      <c r="BD43" s="227"/>
      <c r="BE43" s="195"/>
      <c r="BF43" s="209"/>
      <c r="BG43" s="186"/>
      <c r="BH43" s="186"/>
      <c r="BI43" s="186"/>
      <c r="BJ43" s="186"/>
      <c r="BK43" s="186"/>
      <c r="BL43" s="186"/>
      <c r="BM43" s="186"/>
      <c r="BN43" s="186"/>
      <c r="BO43" s="186"/>
      <c r="BP43" s="223"/>
      <c r="BQ43" s="119"/>
      <c r="BR43" s="186"/>
      <c r="BS43" s="186"/>
      <c r="BT43" s="186"/>
      <c r="BU43" s="186"/>
      <c r="BV43" s="186"/>
      <c r="BW43" s="186"/>
      <c r="BX43" s="186"/>
      <c r="BY43" s="186"/>
      <c r="BZ43" s="186"/>
      <c r="CA43" s="348"/>
    </row>
    <row r="44" spans="49:79" ht="6" customHeight="1">
      <c r="AW44" s="178"/>
      <c r="AX44" s="191"/>
      <c r="AY44" s="195" t="s">
        <v>57</v>
      </c>
      <c r="AZ44" s="209"/>
      <c r="BA44" s="209"/>
      <c r="BB44" s="209"/>
      <c r="BC44" s="209"/>
      <c r="BD44" s="227"/>
      <c r="BE44" s="195" t="s">
        <v>167</v>
      </c>
      <c r="BF44" s="209"/>
      <c r="BG44" s="209"/>
      <c r="BH44" s="209"/>
      <c r="BI44" s="209"/>
      <c r="BJ44" s="209"/>
      <c r="BK44" s="209"/>
      <c r="BL44" s="209"/>
      <c r="BM44" s="209"/>
      <c r="BN44" s="209"/>
      <c r="BO44" s="209"/>
      <c r="BP44" s="227"/>
      <c r="BQ44" s="119"/>
      <c r="BR44" s="186"/>
      <c r="BS44" s="186"/>
      <c r="BT44" s="186"/>
      <c r="BU44" s="186"/>
      <c r="BV44" s="186"/>
      <c r="BW44" s="186"/>
      <c r="BX44" s="186"/>
      <c r="BY44" s="186"/>
      <c r="BZ44" s="186"/>
      <c r="CA44" s="348"/>
    </row>
    <row r="45" spans="49:79" ht="6" customHeight="1">
      <c r="AW45" s="178"/>
      <c r="AX45" s="191"/>
      <c r="AY45" s="195"/>
      <c r="AZ45" s="209"/>
      <c r="BA45" s="209"/>
      <c r="BB45" s="209"/>
      <c r="BC45" s="209"/>
      <c r="BD45" s="227"/>
      <c r="BE45" s="195"/>
      <c r="BF45" s="209"/>
      <c r="BG45" s="209"/>
      <c r="BH45" s="209"/>
      <c r="BI45" s="209"/>
      <c r="BJ45" s="209"/>
      <c r="BK45" s="209"/>
      <c r="BL45" s="209"/>
      <c r="BM45" s="209"/>
      <c r="BN45" s="209"/>
      <c r="BO45" s="209"/>
      <c r="BP45" s="227"/>
      <c r="BQ45" s="119" t="s">
        <v>24</v>
      </c>
      <c r="BR45" s="186"/>
      <c r="BS45" s="186"/>
      <c r="BT45" s="186"/>
      <c r="BU45" s="186"/>
      <c r="BV45" s="186"/>
      <c r="BW45" s="186"/>
      <c r="BX45" s="186"/>
      <c r="BY45" s="186"/>
      <c r="BZ45" s="186"/>
      <c r="CA45" s="348"/>
    </row>
    <row r="46" spans="49:79" ht="6" customHeight="1">
      <c r="AW46" s="178"/>
      <c r="AX46" s="191"/>
      <c r="AY46" s="195"/>
      <c r="AZ46" s="209"/>
      <c r="BA46" s="209"/>
      <c r="BB46" s="209"/>
      <c r="BC46" s="209"/>
      <c r="BD46" s="227"/>
      <c r="BE46" s="195"/>
      <c r="BF46" s="209"/>
      <c r="BG46" s="209"/>
      <c r="BH46" s="209"/>
      <c r="BI46" s="209"/>
      <c r="BJ46" s="209"/>
      <c r="BK46" s="209"/>
      <c r="BL46" s="209"/>
      <c r="BM46" s="209"/>
      <c r="BN46" s="209"/>
      <c r="BO46" s="209"/>
      <c r="BP46" s="227"/>
      <c r="BQ46" s="119"/>
      <c r="BR46" s="186"/>
      <c r="BS46" s="186"/>
      <c r="BT46" s="186"/>
      <c r="BU46" s="186"/>
      <c r="BV46" s="186"/>
      <c r="BW46" s="186"/>
      <c r="BX46" s="186"/>
      <c r="BY46" s="186"/>
      <c r="BZ46" s="186"/>
      <c r="CA46" s="348"/>
    </row>
    <row r="47" spans="49:79" ht="6" customHeight="1">
      <c r="AW47" s="178"/>
      <c r="AX47" s="191"/>
      <c r="AY47" s="195"/>
      <c r="AZ47" s="209"/>
      <c r="BA47" s="209"/>
      <c r="BB47" s="209"/>
      <c r="BC47" s="209"/>
      <c r="BD47" s="227"/>
      <c r="BE47" s="195"/>
      <c r="BF47" s="209"/>
      <c r="BG47" s="209"/>
      <c r="BH47" s="209"/>
      <c r="BI47" s="209"/>
      <c r="BJ47" s="209"/>
      <c r="BK47" s="209"/>
      <c r="BL47" s="209"/>
      <c r="BM47" s="209"/>
      <c r="BN47" s="209"/>
      <c r="BO47" s="209"/>
      <c r="BP47" s="227"/>
      <c r="BQ47" s="119"/>
      <c r="BR47" s="186"/>
      <c r="BS47" s="186"/>
      <c r="BT47" s="186"/>
      <c r="BU47" s="186"/>
      <c r="BV47" s="186"/>
      <c r="BW47" s="186"/>
      <c r="BX47" s="186"/>
      <c r="BY47" s="186"/>
      <c r="BZ47" s="186"/>
      <c r="CA47" s="348"/>
    </row>
    <row r="48" spans="49:79" ht="6" customHeight="1">
      <c r="AW48" s="178"/>
      <c r="AX48" s="191"/>
      <c r="AY48" s="195"/>
      <c r="AZ48" s="209"/>
      <c r="BA48" s="209"/>
      <c r="BB48" s="209"/>
      <c r="BC48" s="209"/>
      <c r="BD48" s="227"/>
      <c r="BE48" s="195"/>
      <c r="BF48" s="209"/>
      <c r="BG48" s="209"/>
      <c r="BH48" s="209"/>
      <c r="BI48" s="209"/>
      <c r="BJ48" s="209"/>
      <c r="BK48" s="209"/>
      <c r="BL48" s="209"/>
      <c r="BM48" s="209"/>
      <c r="BN48" s="209"/>
      <c r="BO48" s="209"/>
      <c r="BP48" s="227"/>
      <c r="BQ48" s="119"/>
      <c r="BR48" s="186"/>
      <c r="BS48" s="186"/>
      <c r="BT48" s="186"/>
      <c r="BU48" s="186"/>
      <c r="BV48" s="186"/>
      <c r="BW48" s="186"/>
      <c r="BX48" s="186"/>
      <c r="BY48" s="186"/>
      <c r="BZ48" s="186"/>
      <c r="CA48" s="348"/>
    </row>
    <row r="49" spans="49:79" ht="15" customHeight="1">
      <c r="AW49" s="178"/>
      <c r="AX49" s="191"/>
      <c r="AY49" s="197" t="s">
        <v>153</v>
      </c>
      <c r="AZ49" s="211"/>
      <c r="BA49" s="211"/>
      <c r="BB49" s="211"/>
      <c r="BC49" s="211"/>
      <c r="BD49" s="211"/>
      <c r="BE49" s="211"/>
      <c r="BF49" s="211"/>
      <c r="BG49" s="211"/>
      <c r="BH49" s="211"/>
      <c r="BI49" s="211"/>
      <c r="BJ49" s="211"/>
      <c r="BK49" s="211"/>
      <c r="BL49" s="211"/>
      <c r="BM49" s="211"/>
      <c r="BN49" s="211"/>
      <c r="BO49" s="211"/>
      <c r="BP49" s="211"/>
      <c r="BQ49" s="211"/>
      <c r="BR49" s="287"/>
      <c r="BS49" s="295" t="s">
        <v>187</v>
      </c>
      <c r="BT49" s="299" t="s">
        <v>189</v>
      </c>
      <c r="BU49" s="305"/>
      <c r="BV49" s="305"/>
      <c r="BW49" s="305"/>
      <c r="BX49" s="321" t="s">
        <v>197</v>
      </c>
      <c r="BY49" s="321"/>
      <c r="BZ49" s="321"/>
      <c r="CA49" s="350"/>
    </row>
    <row r="50" spans="49:79" ht="7.5" customHeight="1">
      <c r="AW50" s="178"/>
      <c r="AX50" s="191"/>
      <c r="AY50" s="195" t="s">
        <v>154</v>
      </c>
      <c r="AZ50" s="209"/>
      <c r="BA50" s="209"/>
      <c r="BB50" s="46"/>
      <c r="BC50" s="46"/>
      <c r="BD50" s="46"/>
      <c r="BE50" s="46"/>
      <c r="BF50" s="46"/>
      <c r="BG50" s="46"/>
      <c r="BH50" s="46"/>
      <c r="BI50" s="46"/>
      <c r="BJ50" s="46"/>
      <c r="BK50" s="46"/>
      <c r="BL50" s="46"/>
      <c r="BM50" s="46"/>
      <c r="BN50" s="46"/>
      <c r="BO50" s="46"/>
      <c r="BP50" s="46"/>
      <c r="BQ50" s="46"/>
      <c r="BR50" s="288"/>
      <c r="BS50" s="296"/>
      <c r="BT50" s="300" t="s">
        <v>190</v>
      </c>
      <c r="BU50" s="306"/>
      <c r="BV50" s="306"/>
      <c r="BW50" s="306"/>
      <c r="BX50" s="322" t="s">
        <v>198</v>
      </c>
      <c r="BY50" s="322"/>
      <c r="BZ50" s="322"/>
      <c r="CA50" s="351"/>
    </row>
    <row r="51" spans="49:79" ht="7.5" customHeight="1">
      <c r="AW51" s="178"/>
      <c r="AX51" s="191"/>
      <c r="AY51" s="195"/>
      <c r="AZ51" s="209"/>
      <c r="BA51" s="209"/>
      <c r="BB51" s="46"/>
      <c r="BC51" s="46"/>
      <c r="BD51" s="46"/>
      <c r="BE51" s="46"/>
      <c r="BF51" s="46"/>
      <c r="BG51" s="46"/>
      <c r="BH51" s="46"/>
      <c r="BI51" s="46"/>
      <c r="BJ51" s="46"/>
      <c r="BK51" s="46"/>
      <c r="BL51" s="46"/>
      <c r="BM51" s="46"/>
      <c r="BN51" s="46"/>
      <c r="BO51" s="46"/>
      <c r="BP51" s="46"/>
      <c r="BQ51" s="46"/>
      <c r="BR51" s="288"/>
      <c r="BS51" s="296"/>
      <c r="BT51" s="300"/>
      <c r="BU51" s="306"/>
      <c r="BV51" s="306"/>
      <c r="BW51" s="306"/>
      <c r="BX51" s="322"/>
      <c r="BY51" s="322"/>
      <c r="BZ51" s="322"/>
      <c r="CA51" s="351"/>
    </row>
    <row r="52" spans="49:79" ht="7.5" customHeight="1">
      <c r="AW52" s="178"/>
      <c r="AX52" s="191"/>
      <c r="AY52" s="119" t="s">
        <v>155</v>
      </c>
      <c r="AZ52" s="186"/>
      <c r="BA52" s="186"/>
      <c r="BB52" s="212"/>
      <c r="BC52" s="212"/>
      <c r="BD52" s="212"/>
      <c r="BE52" s="212"/>
      <c r="BF52" s="212"/>
      <c r="BG52" s="212"/>
      <c r="BH52" s="212"/>
      <c r="BI52" s="212"/>
      <c r="BJ52" s="212"/>
      <c r="BK52" s="212"/>
      <c r="BL52" s="212"/>
      <c r="BM52" s="186" t="s">
        <v>176</v>
      </c>
      <c r="BN52" s="186"/>
      <c r="BO52" s="212"/>
      <c r="BP52" s="212"/>
      <c r="BQ52" s="212"/>
      <c r="BR52" s="242"/>
      <c r="BS52" s="296"/>
      <c r="BT52" s="300" t="s">
        <v>123</v>
      </c>
      <c r="BU52" s="306"/>
      <c r="BV52" s="306"/>
      <c r="BW52" s="306"/>
      <c r="BX52" s="322" t="s">
        <v>198</v>
      </c>
      <c r="BY52" s="322"/>
      <c r="BZ52" s="322"/>
      <c r="CA52" s="351"/>
    </row>
    <row r="53" spans="49:79" ht="7.5" customHeight="1">
      <c r="AW53" s="178"/>
      <c r="AX53" s="191"/>
      <c r="AY53" s="194"/>
      <c r="AZ53" s="187"/>
      <c r="BA53" s="187"/>
      <c r="BB53" s="213"/>
      <c r="BC53" s="213"/>
      <c r="BD53" s="213"/>
      <c r="BE53" s="213"/>
      <c r="BF53" s="213"/>
      <c r="BG53" s="213"/>
      <c r="BH53" s="213"/>
      <c r="BI53" s="213"/>
      <c r="BJ53" s="213"/>
      <c r="BK53" s="213"/>
      <c r="BL53" s="213"/>
      <c r="BM53" s="187"/>
      <c r="BN53" s="187"/>
      <c r="BO53" s="213"/>
      <c r="BP53" s="213"/>
      <c r="BQ53" s="213"/>
      <c r="BR53" s="289"/>
      <c r="BS53" s="296"/>
      <c r="BT53" s="300"/>
      <c r="BU53" s="306"/>
      <c r="BV53" s="306"/>
      <c r="BW53" s="306"/>
      <c r="BX53" s="322"/>
      <c r="BY53" s="322"/>
      <c r="BZ53" s="322"/>
      <c r="CA53" s="351"/>
    </row>
    <row r="54" spans="49:79" ht="15" customHeight="1">
      <c r="AW54" s="178"/>
      <c r="AX54" s="191"/>
      <c r="AY54" s="197" t="s">
        <v>156</v>
      </c>
      <c r="AZ54" s="211"/>
      <c r="BA54" s="211"/>
      <c r="BB54" s="211"/>
      <c r="BC54" s="211"/>
      <c r="BD54" s="211"/>
      <c r="BE54" s="211"/>
      <c r="BF54" s="211"/>
      <c r="BG54" s="211"/>
      <c r="BH54" s="211"/>
      <c r="BI54" s="211"/>
      <c r="BJ54" s="211"/>
      <c r="BK54" s="211"/>
      <c r="BL54" s="211"/>
      <c r="BM54" s="211"/>
      <c r="BN54" s="211"/>
      <c r="BO54" s="211"/>
      <c r="BP54" s="211"/>
      <c r="BQ54" s="211"/>
      <c r="BR54" s="287"/>
      <c r="BS54" s="296"/>
      <c r="BT54" s="300" t="s">
        <v>184</v>
      </c>
      <c r="BU54" s="306"/>
      <c r="BV54" s="306"/>
      <c r="BW54" s="306"/>
      <c r="BX54" s="322" t="s">
        <v>198</v>
      </c>
      <c r="BY54" s="322"/>
      <c r="BZ54" s="322"/>
      <c r="CA54" s="351"/>
    </row>
    <row r="55" spans="49:79" ht="7.5" customHeight="1">
      <c r="AW55" s="178"/>
      <c r="AX55" s="191"/>
      <c r="AY55" s="198"/>
      <c r="AZ55" s="212"/>
      <c r="BA55" s="212"/>
      <c r="BB55" s="212"/>
      <c r="BC55" s="212"/>
      <c r="BD55" s="212"/>
      <c r="BE55" s="212"/>
      <c r="BF55" s="212"/>
      <c r="BG55" s="212"/>
      <c r="BH55" s="212"/>
      <c r="BI55" s="212"/>
      <c r="BJ55" s="212"/>
      <c r="BK55" s="212"/>
      <c r="BL55" s="212"/>
      <c r="BM55" s="212"/>
      <c r="BN55" s="212"/>
      <c r="BO55" s="212"/>
      <c r="BP55" s="212"/>
      <c r="BQ55" s="212"/>
      <c r="BR55" s="242"/>
      <c r="BS55" s="296"/>
      <c r="BT55" s="300" t="s">
        <v>191</v>
      </c>
      <c r="BU55" s="306"/>
      <c r="BV55" s="306"/>
      <c r="BW55" s="306"/>
      <c r="BX55" s="322" t="s">
        <v>198</v>
      </c>
      <c r="BY55" s="322"/>
      <c r="BZ55" s="322"/>
      <c r="CA55" s="351"/>
    </row>
    <row r="56" spans="49:79" ht="7.5" customHeight="1">
      <c r="AW56" s="178"/>
      <c r="AX56" s="191"/>
      <c r="AY56" s="199"/>
      <c r="AZ56" s="213"/>
      <c r="BA56" s="213"/>
      <c r="BB56" s="213"/>
      <c r="BC56" s="213"/>
      <c r="BD56" s="213"/>
      <c r="BE56" s="213"/>
      <c r="BF56" s="213"/>
      <c r="BG56" s="213"/>
      <c r="BH56" s="213"/>
      <c r="BI56" s="213"/>
      <c r="BJ56" s="213"/>
      <c r="BK56" s="213"/>
      <c r="BL56" s="213"/>
      <c r="BM56" s="213"/>
      <c r="BN56" s="213"/>
      <c r="BO56" s="213"/>
      <c r="BP56" s="213"/>
      <c r="BQ56" s="213"/>
      <c r="BR56" s="289"/>
      <c r="BS56" s="296"/>
      <c r="BT56" s="300"/>
      <c r="BU56" s="306"/>
      <c r="BV56" s="306"/>
      <c r="BW56" s="306"/>
      <c r="BX56" s="322"/>
      <c r="BY56" s="322"/>
      <c r="BZ56" s="322"/>
      <c r="CA56" s="351"/>
    </row>
    <row r="57" spans="49:79" ht="15" customHeight="1">
      <c r="AW57" s="178"/>
      <c r="AX57" s="191"/>
      <c r="AY57" s="197" t="s">
        <v>72</v>
      </c>
      <c r="AZ57" s="211"/>
      <c r="BA57" s="211"/>
      <c r="BB57" s="211"/>
      <c r="BC57" s="211"/>
      <c r="BD57" s="211"/>
      <c r="BE57" s="211"/>
      <c r="BF57" s="211"/>
      <c r="BG57" s="211"/>
      <c r="BH57" s="211"/>
      <c r="BI57" s="211"/>
      <c r="BJ57" s="211"/>
      <c r="BK57" s="211"/>
      <c r="BL57" s="211"/>
      <c r="BM57" s="211"/>
      <c r="BN57" s="211"/>
      <c r="BO57" s="211"/>
      <c r="BP57" s="211"/>
      <c r="BQ57" s="211"/>
      <c r="BR57" s="287"/>
      <c r="BS57" s="296"/>
      <c r="BT57" s="301" t="s">
        <v>192</v>
      </c>
      <c r="BU57" s="307"/>
      <c r="BV57" s="307"/>
      <c r="BW57" s="318"/>
      <c r="BX57" s="323" t="s">
        <v>198</v>
      </c>
      <c r="BY57" s="327"/>
      <c r="BZ57" s="327"/>
      <c r="CA57" s="352"/>
    </row>
    <row r="58" spans="49:79" ht="7.5" customHeight="1">
      <c r="AW58" s="178"/>
      <c r="AX58" s="191"/>
      <c r="AY58" s="119" t="s">
        <v>157</v>
      </c>
      <c r="AZ58" s="186"/>
      <c r="BA58" s="186"/>
      <c r="BB58" s="186"/>
      <c r="BC58" s="186"/>
      <c r="BD58" s="186"/>
      <c r="BE58" s="186"/>
      <c r="BF58" s="186"/>
      <c r="BG58" s="186"/>
      <c r="BH58" s="186"/>
      <c r="BI58" s="186"/>
      <c r="BJ58" s="186"/>
      <c r="BK58" s="186"/>
      <c r="BL58" s="186"/>
      <c r="BM58" s="186"/>
      <c r="BN58" s="186"/>
      <c r="BO58" s="186"/>
      <c r="BP58" s="186"/>
      <c r="BQ58" s="186"/>
      <c r="BR58" s="223"/>
      <c r="BS58" s="296"/>
      <c r="BT58" s="302"/>
      <c r="BU58" s="308"/>
      <c r="BV58" s="308"/>
      <c r="BW58" s="319"/>
      <c r="BX58" s="324"/>
      <c r="BY58" s="215"/>
      <c r="BZ58" s="215"/>
      <c r="CA58" s="345"/>
    </row>
    <row r="59" spans="49:79" ht="7.5" customHeight="1">
      <c r="AW59" s="178"/>
      <c r="AX59" s="191"/>
      <c r="AY59" s="194"/>
      <c r="AZ59" s="187"/>
      <c r="BA59" s="187"/>
      <c r="BB59" s="187"/>
      <c r="BC59" s="187"/>
      <c r="BD59" s="187"/>
      <c r="BE59" s="187"/>
      <c r="BF59" s="187"/>
      <c r="BG59" s="187"/>
      <c r="BH59" s="187"/>
      <c r="BI59" s="187"/>
      <c r="BJ59" s="187"/>
      <c r="BK59" s="187"/>
      <c r="BL59" s="187"/>
      <c r="BM59" s="187"/>
      <c r="BN59" s="187"/>
      <c r="BO59" s="187"/>
      <c r="BP59" s="187"/>
      <c r="BQ59" s="187"/>
      <c r="BR59" s="224"/>
      <c r="BS59" s="297"/>
      <c r="BT59" s="303"/>
      <c r="BU59" s="309"/>
      <c r="BV59" s="309"/>
      <c r="BW59" s="320"/>
      <c r="BX59" s="325"/>
      <c r="BY59" s="216"/>
      <c r="BZ59" s="216"/>
      <c r="CA59" s="346"/>
    </row>
    <row r="60" spans="49:79" ht="7.5" customHeight="1">
      <c r="AW60" s="178"/>
      <c r="AX60" s="191"/>
      <c r="AY60" s="200" t="s">
        <v>158</v>
      </c>
      <c r="AZ60" s="214"/>
      <c r="BA60" s="214"/>
      <c r="BB60" s="214"/>
      <c r="BC60" s="214"/>
      <c r="BD60" s="214"/>
      <c r="BE60" s="241"/>
      <c r="BF60" s="200" t="s">
        <v>169</v>
      </c>
      <c r="BG60" s="214"/>
      <c r="BH60" s="214"/>
      <c r="BI60" s="214"/>
      <c r="BJ60" s="214"/>
      <c r="BK60" s="214"/>
      <c r="BL60" s="214"/>
      <c r="BM60" s="214"/>
      <c r="BN60" s="214"/>
      <c r="BO60" s="214"/>
      <c r="BP60" s="214"/>
      <c r="BQ60" s="214"/>
      <c r="BR60" s="241"/>
      <c r="BS60" s="295" t="s">
        <v>188</v>
      </c>
      <c r="BT60" s="299" t="s">
        <v>193</v>
      </c>
      <c r="BU60" s="305"/>
      <c r="BV60" s="305"/>
      <c r="BW60" s="305"/>
      <c r="BX60" s="321" t="s">
        <v>198</v>
      </c>
      <c r="BY60" s="321"/>
      <c r="BZ60" s="321"/>
      <c r="CA60" s="350"/>
    </row>
    <row r="61" spans="49:79" ht="7.5" customHeight="1">
      <c r="AW61" s="178"/>
      <c r="AX61" s="191"/>
      <c r="AY61" s="198"/>
      <c r="AZ61" s="212"/>
      <c r="BA61" s="212"/>
      <c r="BB61" s="212"/>
      <c r="BC61" s="212"/>
      <c r="BD61" s="212"/>
      <c r="BE61" s="242"/>
      <c r="BF61" s="198"/>
      <c r="BG61" s="212"/>
      <c r="BH61" s="212"/>
      <c r="BI61" s="212"/>
      <c r="BJ61" s="212"/>
      <c r="BK61" s="212"/>
      <c r="BL61" s="212"/>
      <c r="BM61" s="212"/>
      <c r="BN61" s="212"/>
      <c r="BO61" s="212"/>
      <c r="BP61" s="212"/>
      <c r="BQ61" s="212"/>
      <c r="BR61" s="242"/>
      <c r="BS61" s="296"/>
      <c r="BT61" s="300"/>
      <c r="BU61" s="306"/>
      <c r="BV61" s="306"/>
      <c r="BW61" s="306"/>
      <c r="BX61" s="322"/>
      <c r="BY61" s="322"/>
      <c r="BZ61" s="322"/>
      <c r="CA61" s="351"/>
    </row>
    <row r="62" spans="49:79" ht="15" customHeight="1">
      <c r="AW62" s="178"/>
      <c r="AX62" s="191"/>
      <c r="AY62" s="201" t="s">
        <v>160</v>
      </c>
      <c r="AZ62" s="215"/>
      <c r="BA62" s="215"/>
      <c r="BB62" s="215"/>
      <c r="BC62" s="215"/>
      <c r="BD62" s="215"/>
      <c r="BE62" s="243"/>
      <c r="BF62" s="119" t="s">
        <v>135</v>
      </c>
      <c r="BG62" s="186"/>
      <c r="BH62" s="186"/>
      <c r="BI62" s="186"/>
      <c r="BJ62" s="186" t="s">
        <v>78</v>
      </c>
      <c r="BK62" s="186"/>
      <c r="BL62" s="186"/>
      <c r="BM62" s="186"/>
      <c r="BN62" s="186"/>
      <c r="BO62" s="186"/>
      <c r="BP62" s="186"/>
      <c r="BQ62" s="186"/>
      <c r="BR62" s="223"/>
      <c r="BS62" s="296"/>
      <c r="BT62" s="300" t="s">
        <v>126</v>
      </c>
      <c r="BU62" s="306"/>
      <c r="BV62" s="306"/>
      <c r="BW62" s="306"/>
      <c r="BX62" s="322" t="s">
        <v>198</v>
      </c>
      <c r="BY62" s="322"/>
      <c r="BZ62" s="322"/>
      <c r="CA62" s="351"/>
    </row>
    <row r="63" spans="49:79" ht="7.5" customHeight="1">
      <c r="AW63" s="178"/>
      <c r="AX63" s="191"/>
      <c r="AY63" s="201"/>
      <c r="AZ63" s="215"/>
      <c r="BA63" s="215"/>
      <c r="BB63" s="215"/>
      <c r="BC63" s="215"/>
      <c r="BD63" s="215"/>
      <c r="BE63" s="243"/>
      <c r="BF63" s="119" t="s">
        <v>16</v>
      </c>
      <c r="BG63" s="186"/>
      <c r="BH63" s="186"/>
      <c r="BI63" s="186"/>
      <c r="BJ63" s="186" t="s">
        <v>78</v>
      </c>
      <c r="BK63" s="186"/>
      <c r="BL63" s="186"/>
      <c r="BM63" s="186"/>
      <c r="BN63" s="186"/>
      <c r="BO63" s="186"/>
      <c r="BP63" s="186"/>
      <c r="BQ63" s="186"/>
      <c r="BR63" s="223"/>
      <c r="BS63" s="296"/>
      <c r="BT63" s="300" t="s">
        <v>194</v>
      </c>
      <c r="BU63" s="306"/>
      <c r="BV63" s="306"/>
      <c r="BW63" s="306"/>
      <c r="BX63" s="322" t="s">
        <v>198</v>
      </c>
      <c r="BY63" s="322"/>
      <c r="BZ63" s="322"/>
      <c r="CA63" s="351"/>
    </row>
    <row r="64" spans="49:79" ht="7.5" customHeight="1">
      <c r="AW64" s="178"/>
      <c r="AX64" s="191"/>
      <c r="AY64" s="202"/>
      <c r="AZ64" s="216"/>
      <c r="BA64" s="216"/>
      <c r="BB64" s="216"/>
      <c r="BC64" s="216"/>
      <c r="BD64" s="216"/>
      <c r="BE64" s="244"/>
      <c r="BF64" s="194"/>
      <c r="BG64" s="187"/>
      <c r="BH64" s="187"/>
      <c r="BI64" s="187"/>
      <c r="BJ64" s="187"/>
      <c r="BK64" s="187"/>
      <c r="BL64" s="187"/>
      <c r="BM64" s="187"/>
      <c r="BN64" s="187"/>
      <c r="BO64" s="187"/>
      <c r="BP64" s="187"/>
      <c r="BQ64" s="187"/>
      <c r="BR64" s="224"/>
      <c r="BS64" s="296"/>
      <c r="BT64" s="300"/>
      <c r="BU64" s="306"/>
      <c r="BV64" s="306"/>
      <c r="BW64" s="306"/>
      <c r="BX64" s="322"/>
      <c r="BY64" s="322"/>
      <c r="BZ64" s="322"/>
      <c r="CA64" s="351"/>
    </row>
    <row r="65" spans="49:79" ht="7.5" customHeight="1">
      <c r="AW65" s="178"/>
      <c r="AX65" s="191"/>
      <c r="AY65" s="37" t="s">
        <v>83</v>
      </c>
      <c r="AZ65" s="185"/>
      <c r="BA65" s="185"/>
      <c r="BB65" s="185"/>
      <c r="BC65" s="185"/>
      <c r="BD65" s="222"/>
      <c r="BE65" s="118" t="s">
        <v>168</v>
      </c>
      <c r="BF65" s="185"/>
      <c r="BG65" s="185"/>
      <c r="BH65" s="185"/>
      <c r="BI65" s="185"/>
      <c r="BJ65" s="185"/>
      <c r="BK65" s="185"/>
      <c r="BL65" s="185"/>
      <c r="BM65" s="185"/>
      <c r="BN65" s="185"/>
      <c r="BO65" s="185"/>
      <c r="BP65" s="185"/>
      <c r="BQ65" s="185"/>
      <c r="BR65" s="222"/>
      <c r="BS65" s="296"/>
      <c r="BT65" s="300" t="s">
        <v>18</v>
      </c>
      <c r="BU65" s="306"/>
      <c r="BV65" s="306"/>
      <c r="BW65" s="306"/>
      <c r="BX65" s="322" t="s">
        <v>198</v>
      </c>
      <c r="BY65" s="322"/>
      <c r="BZ65" s="322"/>
      <c r="CA65" s="351"/>
    </row>
    <row r="66" spans="49:79" ht="7.5" customHeight="1">
      <c r="AW66" s="178"/>
      <c r="AX66" s="191"/>
      <c r="AY66" s="119"/>
      <c r="AZ66" s="186"/>
      <c r="BA66" s="186"/>
      <c r="BB66" s="186"/>
      <c r="BC66" s="186"/>
      <c r="BD66" s="223"/>
      <c r="BE66" s="119"/>
      <c r="BF66" s="186"/>
      <c r="BG66" s="186"/>
      <c r="BH66" s="186"/>
      <c r="BI66" s="186"/>
      <c r="BJ66" s="186"/>
      <c r="BK66" s="186"/>
      <c r="BL66" s="186"/>
      <c r="BM66" s="186"/>
      <c r="BN66" s="186"/>
      <c r="BO66" s="186"/>
      <c r="BP66" s="186"/>
      <c r="BQ66" s="186"/>
      <c r="BR66" s="223"/>
      <c r="BS66" s="296"/>
      <c r="BT66" s="300"/>
      <c r="BU66" s="306"/>
      <c r="BV66" s="306"/>
      <c r="BW66" s="306"/>
      <c r="BX66" s="322"/>
      <c r="BY66" s="322"/>
      <c r="BZ66" s="322"/>
      <c r="CA66" s="351"/>
    </row>
    <row r="67" spans="49:79" ht="15" customHeight="1">
      <c r="AW67" s="178"/>
      <c r="AX67" s="191"/>
      <c r="AY67" s="119"/>
      <c r="AZ67" s="186"/>
      <c r="BA67" s="186"/>
      <c r="BB67" s="186"/>
      <c r="BC67" s="186"/>
      <c r="BD67" s="223"/>
      <c r="BE67" s="119"/>
      <c r="BF67" s="186"/>
      <c r="BG67" s="186"/>
      <c r="BH67" s="186"/>
      <c r="BI67" s="186"/>
      <c r="BJ67" s="186"/>
      <c r="BK67" s="186"/>
      <c r="BL67" s="186"/>
      <c r="BM67" s="186"/>
      <c r="BN67" s="186"/>
      <c r="BO67" s="186"/>
      <c r="BP67" s="186"/>
      <c r="BQ67" s="186"/>
      <c r="BR67" s="223"/>
      <c r="BS67" s="296"/>
      <c r="BT67" s="300" t="s">
        <v>192</v>
      </c>
      <c r="BU67" s="306"/>
      <c r="BV67" s="306"/>
      <c r="BW67" s="306"/>
      <c r="BX67" s="322" t="s">
        <v>198</v>
      </c>
      <c r="BY67" s="322"/>
      <c r="BZ67" s="322"/>
      <c r="CA67" s="351"/>
    </row>
    <row r="68" spans="49:79" ht="7.5" customHeight="1">
      <c r="AW68" s="178"/>
      <c r="AX68" s="191"/>
      <c r="AY68" s="119"/>
      <c r="AZ68" s="186"/>
      <c r="BA68" s="186"/>
      <c r="BB68" s="186"/>
      <c r="BC68" s="186"/>
      <c r="BD68" s="223"/>
      <c r="BE68" s="119"/>
      <c r="BF68" s="186"/>
      <c r="BG68" s="186"/>
      <c r="BH68" s="186"/>
      <c r="BI68" s="186"/>
      <c r="BJ68" s="186"/>
      <c r="BK68" s="186"/>
      <c r="BL68" s="186"/>
      <c r="BM68" s="186"/>
      <c r="BN68" s="186"/>
      <c r="BO68" s="186"/>
      <c r="BP68" s="186"/>
      <c r="BQ68" s="186"/>
      <c r="BR68" s="223"/>
      <c r="BS68" s="296"/>
      <c r="BT68" s="300"/>
      <c r="BU68" s="306"/>
      <c r="BV68" s="306"/>
      <c r="BW68" s="306"/>
      <c r="BX68" s="322"/>
      <c r="BY68" s="322"/>
      <c r="BZ68" s="322"/>
      <c r="CA68" s="351"/>
    </row>
    <row r="69" spans="49:79" ht="7.5" customHeight="1">
      <c r="AW69" s="179"/>
      <c r="AX69" s="192"/>
      <c r="AY69" s="203"/>
      <c r="AZ69" s="217"/>
      <c r="BA69" s="217"/>
      <c r="BB69" s="217"/>
      <c r="BC69" s="217"/>
      <c r="BD69" s="229"/>
      <c r="BE69" s="203"/>
      <c r="BF69" s="217"/>
      <c r="BG69" s="217"/>
      <c r="BH69" s="217"/>
      <c r="BI69" s="217"/>
      <c r="BJ69" s="217"/>
      <c r="BK69" s="217"/>
      <c r="BL69" s="217"/>
      <c r="BM69" s="217"/>
      <c r="BN69" s="217"/>
      <c r="BO69" s="217"/>
      <c r="BP69" s="217"/>
      <c r="BQ69" s="217"/>
      <c r="BR69" s="229"/>
      <c r="BS69" s="298"/>
      <c r="BT69" s="304"/>
      <c r="BU69" s="310"/>
      <c r="BV69" s="310"/>
      <c r="BW69" s="310"/>
      <c r="BX69" s="326"/>
      <c r="BY69" s="326"/>
      <c r="BZ69" s="326"/>
      <c r="CA69" s="353"/>
    </row>
    <row r="70" spans="49:79" ht="6.5" customHeight="1">
      <c r="AW70" s="180" t="s">
        <v>149</v>
      </c>
      <c r="AX70" s="191"/>
      <c r="AY70" s="180" t="s">
        <v>25</v>
      </c>
      <c r="AZ70" s="191"/>
      <c r="BA70" s="119" t="s">
        <v>35</v>
      </c>
      <c r="BB70" s="186"/>
      <c r="BC70" s="186"/>
      <c r="BD70" s="186"/>
      <c r="BE70" s="186"/>
      <c r="BF70" s="186"/>
      <c r="BG70" s="186"/>
      <c r="BH70" s="223"/>
      <c r="BI70" s="119" t="s">
        <v>173</v>
      </c>
      <c r="BJ70" s="186"/>
      <c r="BK70" s="186"/>
      <c r="BL70" s="186"/>
      <c r="BM70" s="186"/>
      <c r="BN70" s="186"/>
      <c r="BO70" s="186"/>
      <c r="BP70" s="186"/>
      <c r="BQ70" s="186"/>
      <c r="BR70" s="186"/>
      <c r="BS70" s="186"/>
      <c r="BT70" s="223"/>
      <c r="BU70" s="119" t="s">
        <v>195</v>
      </c>
      <c r="BV70" s="186"/>
      <c r="BW70" s="186"/>
      <c r="BX70" s="186"/>
      <c r="BY70" s="186"/>
      <c r="BZ70" s="186"/>
      <c r="CA70" s="223"/>
    </row>
    <row r="71" spans="49:79" ht="6.5" customHeight="1">
      <c r="AW71" s="180"/>
      <c r="AX71" s="191"/>
      <c r="AY71" s="180"/>
      <c r="AZ71" s="191"/>
      <c r="BA71" s="119"/>
      <c r="BB71" s="186"/>
      <c r="BC71" s="186"/>
      <c r="BD71" s="186"/>
      <c r="BE71" s="186"/>
      <c r="BF71" s="186"/>
      <c r="BG71" s="186"/>
      <c r="BH71" s="223"/>
      <c r="BI71" s="119"/>
      <c r="BJ71" s="186"/>
      <c r="BK71" s="186"/>
      <c r="BL71" s="186"/>
      <c r="BM71" s="186"/>
      <c r="BN71" s="186"/>
      <c r="BO71" s="186"/>
      <c r="BP71" s="186"/>
      <c r="BQ71" s="186"/>
      <c r="BR71" s="186"/>
      <c r="BS71" s="186"/>
      <c r="BT71" s="223"/>
      <c r="BU71" s="119"/>
      <c r="BV71" s="186"/>
      <c r="BW71" s="186"/>
      <c r="BX71" s="186"/>
      <c r="BY71" s="186"/>
      <c r="BZ71" s="186"/>
      <c r="CA71" s="223"/>
    </row>
    <row r="72" spans="49:79" ht="6.5" customHeight="1">
      <c r="AW72" s="180"/>
      <c r="AX72" s="191"/>
      <c r="AY72" s="180"/>
      <c r="AZ72" s="191"/>
      <c r="BA72" s="119"/>
      <c r="BB72" s="186"/>
      <c r="BC72" s="186"/>
      <c r="BD72" s="186"/>
      <c r="BE72" s="186"/>
      <c r="BF72" s="186"/>
      <c r="BG72" s="186"/>
      <c r="BH72" s="223"/>
      <c r="BI72" s="119"/>
      <c r="BJ72" s="186"/>
      <c r="BK72" s="186"/>
      <c r="BL72" s="186"/>
      <c r="BM72" s="186"/>
      <c r="BN72" s="186"/>
      <c r="BO72" s="186"/>
      <c r="BP72" s="186"/>
      <c r="BQ72" s="186"/>
      <c r="BR72" s="186"/>
      <c r="BS72" s="186"/>
      <c r="BT72" s="223"/>
      <c r="BU72" s="119"/>
      <c r="BV72" s="186"/>
      <c r="BW72" s="186"/>
      <c r="BX72" s="186"/>
      <c r="BY72" s="186"/>
      <c r="BZ72" s="186"/>
      <c r="CA72" s="223"/>
    </row>
    <row r="73" spans="49:79" ht="6.5" customHeight="1">
      <c r="AW73" s="180"/>
      <c r="AX73" s="191"/>
      <c r="AY73" s="181"/>
      <c r="AZ73" s="193"/>
      <c r="BA73" s="194"/>
      <c r="BB73" s="187"/>
      <c r="BC73" s="187"/>
      <c r="BD73" s="187"/>
      <c r="BE73" s="187"/>
      <c r="BF73" s="187"/>
      <c r="BG73" s="187"/>
      <c r="BH73" s="224"/>
      <c r="BI73" s="194"/>
      <c r="BJ73" s="187"/>
      <c r="BK73" s="187"/>
      <c r="BL73" s="187"/>
      <c r="BM73" s="187"/>
      <c r="BN73" s="187"/>
      <c r="BO73" s="187"/>
      <c r="BP73" s="187"/>
      <c r="BQ73" s="187"/>
      <c r="BR73" s="187"/>
      <c r="BS73" s="187"/>
      <c r="BT73" s="224"/>
      <c r="BU73" s="194"/>
      <c r="BV73" s="187"/>
      <c r="BW73" s="187"/>
      <c r="BX73" s="187"/>
      <c r="BY73" s="187"/>
      <c r="BZ73" s="187"/>
      <c r="CA73" s="224"/>
    </row>
    <row r="74" spans="49:79" ht="6.5" customHeight="1">
      <c r="AW74" s="180"/>
      <c r="AX74" s="191"/>
      <c r="AY74" s="204" t="s">
        <v>161</v>
      </c>
      <c r="AZ74" s="190"/>
      <c r="BA74" s="118" t="s">
        <v>35</v>
      </c>
      <c r="BB74" s="185"/>
      <c r="BC74" s="185"/>
      <c r="BD74" s="185"/>
      <c r="BE74" s="185"/>
      <c r="BF74" s="185"/>
      <c r="BG74" s="185"/>
      <c r="BH74" s="222"/>
      <c r="BI74" s="200" t="s">
        <v>93</v>
      </c>
      <c r="BJ74" s="214"/>
      <c r="BK74" s="214"/>
      <c r="BL74" s="214"/>
      <c r="BM74" s="214"/>
      <c r="BN74" s="214"/>
      <c r="BO74" s="214"/>
      <c r="BP74" s="214"/>
      <c r="BQ74" s="214"/>
      <c r="BR74" s="214"/>
      <c r="BS74" s="245"/>
      <c r="BT74" s="260"/>
      <c r="BU74" s="311" t="s">
        <v>21</v>
      </c>
      <c r="BV74" s="315"/>
      <c r="BW74" s="315"/>
      <c r="BX74" s="315"/>
      <c r="BY74" s="315"/>
      <c r="BZ74" s="315"/>
      <c r="CA74" s="354"/>
    </row>
    <row r="75" spans="49:79" ht="6.5" customHeight="1">
      <c r="AW75" s="180"/>
      <c r="AX75" s="191"/>
      <c r="AY75" s="180"/>
      <c r="AZ75" s="191"/>
      <c r="BA75" s="119"/>
      <c r="BB75" s="186"/>
      <c r="BC75" s="186"/>
      <c r="BD75" s="186"/>
      <c r="BE75" s="186"/>
      <c r="BF75" s="186"/>
      <c r="BG75" s="186"/>
      <c r="BH75" s="223"/>
      <c r="BI75" s="198"/>
      <c r="BJ75" s="212"/>
      <c r="BK75" s="212"/>
      <c r="BL75" s="212"/>
      <c r="BM75" s="212"/>
      <c r="BN75" s="212"/>
      <c r="BO75" s="212"/>
      <c r="BP75" s="212"/>
      <c r="BQ75" s="212"/>
      <c r="BR75" s="212"/>
      <c r="BS75" s="238"/>
      <c r="BT75" s="261"/>
      <c r="BU75" s="312"/>
      <c r="BV75" s="316"/>
      <c r="BW75" s="316"/>
      <c r="BX75" s="316"/>
      <c r="BY75" s="316"/>
      <c r="BZ75" s="316"/>
      <c r="CA75" s="355"/>
    </row>
    <row r="76" spans="49:79" ht="6.5" customHeight="1">
      <c r="AW76" s="180"/>
      <c r="AX76" s="191"/>
      <c r="AY76" s="180"/>
      <c r="AZ76" s="191"/>
      <c r="BA76" s="119"/>
      <c r="BB76" s="186"/>
      <c r="BC76" s="186"/>
      <c r="BD76" s="186"/>
      <c r="BE76" s="186"/>
      <c r="BF76" s="186"/>
      <c r="BG76" s="186"/>
      <c r="BH76" s="223"/>
      <c r="BI76" s="201" t="s">
        <v>48</v>
      </c>
      <c r="BJ76" s="215"/>
      <c r="BK76" s="215"/>
      <c r="BL76" s="215"/>
      <c r="BM76" s="215"/>
      <c r="BN76" s="215"/>
      <c r="BO76" s="215"/>
      <c r="BP76" s="215"/>
      <c r="BQ76" s="215"/>
      <c r="BR76" s="215"/>
      <c r="BS76" s="215"/>
      <c r="BT76" s="243"/>
      <c r="BU76" s="312"/>
      <c r="BV76" s="316"/>
      <c r="BW76" s="316"/>
      <c r="BX76" s="316"/>
      <c r="BY76" s="316"/>
      <c r="BZ76" s="316"/>
      <c r="CA76" s="355"/>
    </row>
    <row r="77" spans="49:79" ht="6.5" customHeight="1">
      <c r="AW77" s="180"/>
      <c r="AX77" s="191"/>
      <c r="AY77" s="181"/>
      <c r="AZ77" s="193"/>
      <c r="BA77" s="194"/>
      <c r="BB77" s="187"/>
      <c r="BC77" s="187"/>
      <c r="BD77" s="187"/>
      <c r="BE77" s="187"/>
      <c r="BF77" s="187"/>
      <c r="BG77" s="187"/>
      <c r="BH77" s="224"/>
      <c r="BI77" s="202"/>
      <c r="BJ77" s="216"/>
      <c r="BK77" s="216"/>
      <c r="BL77" s="216"/>
      <c r="BM77" s="216"/>
      <c r="BN77" s="216"/>
      <c r="BO77" s="216"/>
      <c r="BP77" s="216"/>
      <c r="BQ77" s="216"/>
      <c r="BR77" s="216"/>
      <c r="BS77" s="216"/>
      <c r="BT77" s="244"/>
      <c r="BU77" s="312"/>
      <c r="BV77" s="316"/>
      <c r="BW77" s="316"/>
      <c r="BX77" s="316"/>
      <c r="BY77" s="316"/>
      <c r="BZ77" s="316"/>
      <c r="CA77" s="355"/>
    </row>
    <row r="78" spans="49:79" ht="6.5" customHeight="1">
      <c r="AW78" s="180"/>
      <c r="AX78" s="191"/>
      <c r="AY78" s="204" t="s">
        <v>162</v>
      </c>
      <c r="AZ78" s="190"/>
      <c r="BA78" s="118" t="s">
        <v>35</v>
      </c>
      <c r="BB78" s="185"/>
      <c r="BC78" s="185"/>
      <c r="BD78" s="185"/>
      <c r="BE78" s="185"/>
      <c r="BF78" s="185"/>
      <c r="BG78" s="185"/>
      <c r="BH78" s="222"/>
      <c r="BI78" s="200" t="s">
        <v>174</v>
      </c>
      <c r="BJ78" s="84"/>
      <c r="BK78" s="84"/>
      <c r="BL78" s="84"/>
      <c r="BM78" s="185" t="s">
        <v>177</v>
      </c>
      <c r="BN78" s="29"/>
      <c r="BO78" s="29"/>
      <c r="BP78" s="29"/>
      <c r="BQ78" s="29"/>
      <c r="BR78" s="29"/>
      <c r="BS78" s="29"/>
      <c r="BT78" s="49"/>
      <c r="BU78" s="312"/>
      <c r="BV78" s="316"/>
      <c r="BW78" s="316"/>
      <c r="BX78" s="316"/>
      <c r="BY78" s="316"/>
      <c r="BZ78" s="316"/>
      <c r="CA78" s="355"/>
    </row>
    <row r="79" spans="49:79" ht="6.5" customHeight="1">
      <c r="AW79" s="180"/>
      <c r="AX79" s="191"/>
      <c r="AY79" s="180"/>
      <c r="AZ79" s="191"/>
      <c r="BA79" s="119"/>
      <c r="BB79" s="186"/>
      <c r="BC79" s="186"/>
      <c r="BD79" s="186"/>
      <c r="BE79" s="186"/>
      <c r="BF79" s="186"/>
      <c r="BG79" s="186"/>
      <c r="BH79" s="223"/>
      <c r="BI79" s="67"/>
      <c r="BJ79" s="254"/>
      <c r="BK79" s="254"/>
      <c r="BL79" s="254"/>
      <c r="BM79" s="4"/>
      <c r="BN79" s="4"/>
      <c r="BO79" s="4"/>
      <c r="BP79" s="4"/>
      <c r="BQ79" s="4"/>
      <c r="BR79" s="4"/>
      <c r="BS79" s="4"/>
      <c r="BT79" s="50"/>
      <c r="BU79" s="312"/>
      <c r="BV79" s="316"/>
      <c r="BW79" s="316"/>
      <c r="BX79" s="316"/>
      <c r="BY79" s="316"/>
      <c r="BZ79" s="316"/>
      <c r="CA79" s="355"/>
    </row>
    <row r="80" spans="49:79" ht="6.5" customHeight="1">
      <c r="AW80" s="180"/>
      <c r="AX80" s="191"/>
      <c r="AY80" s="180"/>
      <c r="AZ80" s="191"/>
      <c r="BA80" s="119"/>
      <c r="BB80" s="186"/>
      <c r="BC80" s="186"/>
      <c r="BD80" s="186"/>
      <c r="BE80" s="186"/>
      <c r="BF80" s="186"/>
      <c r="BG80" s="186"/>
      <c r="BH80" s="223"/>
      <c r="BI80" s="198" t="s">
        <v>175</v>
      </c>
      <c r="BJ80" s="254"/>
      <c r="BK80" s="254"/>
      <c r="BL80" s="254"/>
      <c r="BM80" s="258" t="s">
        <v>177</v>
      </c>
      <c r="BN80" s="258"/>
      <c r="BO80" s="258"/>
      <c r="BP80" s="258"/>
      <c r="BQ80" s="258"/>
      <c r="BR80" s="258"/>
      <c r="BS80" s="258"/>
      <c r="BT80" s="223"/>
      <c r="BU80" s="312"/>
      <c r="BV80" s="316"/>
      <c r="BW80" s="316"/>
      <c r="BX80" s="316"/>
      <c r="BY80" s="316"/>
      <c r="BZ80" s="316"/>
      <c r="CA80" s="355"/>
    </row>
    <row r="81" spans="49:79" ht="6.5" customHeight="1">
      <c r="AW81" s="180"/>
      <c r="AX81" s="191"/>
      <c r="AY81" s="181"/>
      <c r="AZ81" s="193"/>
      <c r="BA81" s="194"/>
      <c r="BB81" s="187"/>
      <c r="BC81" s="187"/>
      <c r="BD81" s="187"/>
      <c r="BE81" s="187"/>
      <c r="BF81" s="187"/>
      <c r="BG81" s="187"/>
      <c r="BH81" s="224"/>
      <c r="BI81" s="253"/>
      <c r="BJ81" s="102"/>
      <c r="BK81" s="102"/>
      <c r="BL81" s="102"/>
      <c r="BM81" s="187"/>
      <c r="BN81" s="187"/>
      <c r="BO81" s="187"/>
      <c r="BP81" s="187"/>
      <c r="BQ81" s="187"/>
      <c r="BR81" s="187"/>
      <c r="BS81" s="187"/>
      <c r="BT81" s="224"/>
      <c r="BU81" s="312"/>
      <c r="BV81" s="316"/>
      <c r="BW81" s="316"/>
      <c r="BX81" s="316"/>
      <c r="BY81" s="316"/>
      <c r="BZ81" s="316"/>
      <c r="CA81" s="355"/>
    </row>
    <row r="82" spans="49:79" ht="6.5" customHeight="1">
      <c r="AW82" s="180"/>
      <c r="AX82" s="191"/>
      <c r="AY82" s="205" t="s">
        <v>164</v>
      </c>
      <c r="AZ82" s="218"/>
      <c r="BA82" s="118" t="s">
        <v>165</v>
      </c>
      <c r="BB82" s="185"/>
      <c r="BC82" s="185"/>
      <c r="BD82" s="185"/>
      <c r="BE82" s="185"/>
      <c r="BF82" s="185"/>
      <c r="BG82" s="185"/>
      <c r="BH82" s="222"/>
      <c r="BI82" s="200" t="s">
        <v>6</v>
      </c>
      <c r="BJ82" s="214"/>
      <c r="BK82" s="214"/>
      <c r="BL82" s="214"/>
      <c r="BM82" s="214"/>
      <c r="BN82" s="214"/>
      <c r="BO82" s="214"/>
      <c r="BP82" s="214"/>
      <c r="BQ82" s="214"/>
      <c r="BR82" s="214"/>
      <c r="BS82" s="245"/>
      <c r="BT82" s="260"/>
      <c r="BU82" s="312"/>
      <c r="BV82" s="316"/>
      <c r="BW82" s="316"/>
      <c r="BX82" s="316"/>
      <c r="BY82" s="316"/>
      <c r="BZ82" s="316"/>
      <c r="CA82" s="355"/>
    </row>
    <row r="83" spans="49:79" ht="6.5" customHeight="1">
      <c r="AW83" s="180"/>
      <c r="AX83" s="191"/>
      <c r="AY83" s="206"/>
      <c r="AZ83" s="219"/>
      <c r="BA83" s="119"/>
      <c r="BB83" s="186"/>
      <c r="BC83" s="186"/>
      <c r="BD83" s="186"/>
      <c r="BE83" s="186"/>
      <c r="BF83" s="186"/>
      <c r="BG83" s="186"/>
      <c r="BH83" s="223"/>
      <c r="BI83" s="198"/>
      <c r="BJ83" s="212"/>
      <c r="BK83" s="212"/>
      <c r="BL83" s="212"/>
      <c r="BM83" s="212"/>
      <c r="BN83" s="212"/>
      <c r="BO83" s="212"/>
      <c r="BP83" s="212"/>
      <c r="BQ83" s="212"/>
      <c r="BR83" s="212"/>
      <c r="BS83" s="238"/>
      <c r="BT83" s="261"/>
      <c r="BU83" s="312"/>
      <c r="BV83" s="316"/>
      <c r="BW83" s="316"/>
      <c r="BX83" s="316"/>
      <c r="BY83" s="316"/>
      <c r="BZ83" s="316"/>
      <c r="CA83" s="355"/>
    </row>
    <row r="84" spans="49:79" ht="6.5" customHeight="1">
      <c r="AW84" s="180"/>
      <c r="AX84" s="191"/>
      <c r="AY84" s="206"/>
      <c r="AZ84" s="219"/>
      <c r="BA84" s="119"/>
      <c r="BB84" s="186"/>
      <c r="BC84" s="186"/>
      <c r="BD84" s="186"/>
      <c r="BE84" s="186"/>
      <c r="BF84" s="186"/>
      <c r="BG84" s="186"/>
      <c r="BH84" s="223"/>
      <c r="BI84" s="201" t="s">
        <v>159</v>
      </c>
      <c r="BJ84" s="215"/>
      <c r="BK84" s="215"/>
      <c r="BL84" s="215"/>
      <c r="BM84" s="215"/>
      <c r="BN84" s="215"/>
      <c r="BO84" s="215"/>
      <c r="BP84" s="215"/>
      <c r="BQ84" s="215"/>
      <c r="BR84" s="215"/>
      <c r="BS84" s="215"/>
      <c r="BT84" s="243"/>
      <c r="BU84" s="312"/>
      <c r="BV84" s="316"/>
      <c r="BW84" s="316"/>
      <c r="BX84" s="316"/>
      <c r="BY84" s="316"/>
      <c r="BZ84" s="316"/>
      <c r="CA84" s="355"/>
    </row>
    <row r="85" spans="49:79" ht="6.5" customHeight="1">
      <c r="AW85" s="181"/>
      <c r="AX85" s="193"/>
      <c r="AY85" s="207"/>
      <c r="AZ85" s="220"/>
      <c r="BA85" s="194"/>
      <c r="BB85" s="187"/>
      <c r="BC85" s="187"/>
      <c r="BD85" s="187"/>
      <c r="BE85" s="187"/>
      <c r="BF85" s="187"/>
      <c r="BG85" s="187"/>
      <c r="BH85" s="224"/>
      <c r="BI85" s="202"/>
      <c r="BJ85" s="216"/>
      <c r="BK85" s="216"/>
      <c r="BL85" s="216"/>
      <c r="BM85" s="216"/>
      <c r="BN85" s="216"/>
      <c r="BO85" s="216"/>
      <c r="BP85" s="216"/>
      <c r="BQ85" s="216"/>
      <c r="BR85" s="216"/>
      <c r="BS85" s="216"/>
      <c r="BT85" s="244"/>
      <c r="BU85" s="313"/>
      <c r="BV85" s="317"/>
      <c r="BW85" s="317"/>
      <c r="BX85" s="317"/>
      <c r="BY85" s="317"/>
      <c r="BZ85" s="317"/>
      <c r="CA85" s="356"/>
    </row>
    <row r="86" spans="49:79" ht="10" customHeight="1"/>
    <row r="87" spans="49:79" ht="16" customHeight="1">
      <c r="AW87" s="20" t="s">
        <v>37</v>
      </c>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156"/>
    </row>
    <row r="88" spans="49:79" ht="5" customHeight="1">
      <c r="AW88" s="21"/>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157"/>
    </row>
    <row r="89" spans="49:79" ht="12.75" customHeight="1">
      <c r="AW89" s="21" t="s">
        <v>98</v>
      </c>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157"/>
    </row>
    <row r="90" spans="49:79" ht="12.75" customHeight="1">
      <c r="AW90" s="21" t="s">
        <v>150</v>
      </c>
      <c r="AX90" s="46"/>
      <c r="AY90" s="46"/>
      <c r="AZ90" s="46"/>
      <c r="BA90" s="46"/>
      <c r="BB90" s="46"/>
      <c r="BC90" s="46"/>
      <c r="BD90" s="46"/>
      <c r="BE90" s="46"/>
      <c r="BF90" s="46"/>
      <c r="BG90" s="163"/>
      <c r="BH90" s="163"/>
      <c r="BI90" s="163"/>
      <c r="BJ90" s="163"/>
      <c r="BK90" s="163"/>
      <c r="BL90" s="163"/>
      <c r="BM90" s="163"/>
      <c r="BN90" s="163"/>
      <c r="BO90" s="163"/>
      <c r="BP90" s="163"/>
      <c r="BQ90" s="163"/>
      <c r="BR90" s="163"/>
      <c r="BS90" s="163"/>
      <c r="BT90" s="163"/>
      <c r="BU90" s="163"/>
      <c r="BV90" s="163"/>
      <c r="BW90" s="163"/>
      <c r="BX90" s="163"/>
      <c r="BY90" s="163"/>
      <c r="BZ90" s="163"/>
      <c r="CA90" s="161"/>
    </row>
    <row r="91" spans="49:79" ht="12.75" customHeight="1">
      <c r="AW91" s="22"/>
      <c r="AX91" s="47"/>
      <c r="AY91" s="47"/>
      <c r="AZ91" s="47"/>
      <c r="BA91" s="47"/>
      <c r="BB91" s="47"/>
      <c r="BC91" s="47"/>
      <c r="BD91" s="47"/>
      <c r="BE91" s="47"/>
      <c r="BF91" s="47"/>
      <c r="CA91" s="161"/>
    </row>
    <row r="92" spans="49:79" ht="7.5" customHeight="1">
      <c r="AW92" s="25"/>
      <c r="BA92" s="30"/>
      <c r="BB92" s="30"/>
      <c r="BC92" s="30"/>
      <c r="BD92" s="30"/>
      <c r="BG92" s="163"/>
      <c r="BH92" s="163"/>
      <c r="BI92" s="163"/>
      <c r="BJ92" s="163"/>
      <c r="BK92" s="163"/>
      <c r="BL92" s="163"/>
      <c r="BM92" s="163"/>
      <c r="BN92" s="163"/>
      <c r="BO92" s="163"/>
      <c r="BP92" s="163"/>
      <c r="BQ92" s="163"/>
      <c r="BR92" s="163"/>
      <c r="BS92" s="163"/>
      <c r="BT92" s="163"/>
      <c r="BU92" s="163"/>
      <c r="BV92" s="163"/>
      <c r="BW92" s="163"/>
      <c r="BX92" s="163"/>
      <c r="BY92" s="163"/>
      <c r="BZ92" s="163"/>
      <c r="CA92" s="159"/>
    </row>
    <row r="93" spans="49:79" ht="7.5" customHeight="1">
      <c r="AW93" s="25"/>
      <c r="AZ93" s="163"/>
      <c r="BA93" s="163"/>
      <c r="BB93" s="163"/>
      <c r="BC93" s="163"/>
      <c r="BD93" s="163"/>
      <c r="BE93" s="163"/>
      <c r="BF93" s="163"/>
      <c r="CA93" s="161"/>
    </row>
    <row r="94" spans="49:79" ht="15.75" customHeight="1">
      <c r="AW94" s="25"/>
      <c r="BM94" s="163" t="s">
        <v>46</v>
      </c>
      <c r="BN94" s="163"/>
      <c r="BO94" s="163"/>
      <c r="BP94" s="163"/>
      <c r="BQ94" s="111"/>
      <c r="BR94" s="111"/>
      <c r="BS94" s="111"/>
      <c r="BT94" s="111"/>
      <c r="BU94" s="111"/>
      <c r="BV94" s="111"/>
      <c r="BW94" s="111"/>
      <c r="BX94" s="111"/>
      <c r="BY94" s="328"/>
      <c r="CA94" s="161"/>
    </row>
    <row r="95" spans="49:79" ht="7.5" customHeight="1">
      <c r="AW95" s="26"/>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357"/>
    </row>
    <row r="96" spans="49:79" ht="3"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sheetData>
  <mergeCells count="130">
    <mergeCell ref="BP2:BR2"/>
    <mergeCell ref="BS2:BU2"/>
    <mergeCell ref="BV2:BX2"/>
    <mergeCell ref="BY2:CA2"/>
    <mergeCell ref="BE14:CA14"/>
    <mergeCell ref="BI15:BP15"/>
    <mergeCell ref="BI16:BS16"/>
    <mergeCell ref="BI17:BP17"/>
    <mergeCell ref="BR17:BT17"/>
    <mergeCell ref="BI18:BP18"/>
    <mergeCell ref="BR18:BT18"/>
    <mergeCell ref="AY49:BR49"/>
    <mergeCell ref="BT49:BW49"/>
    <mergeCell ref="BX49:CA49"/>
    <mergeCell ref="AY54:BR54"/>
    <mergeCell ref="BT54:BW54"/>
    <mergeCell ref="BX54:CA54"/>
    <mergeCell ref="AY57:BR57"/>
    <mergeCell ref="BF62:BI62"/>
    <mergeCell ref="BJ62:BR62"/>
    <mergeCell ref="BT62:BW62"/>
    <mergeCell ref="BX62:CA62"/>
    <mergeCell ref="AW87:CA87"/>
    <mergeCell ref="AW88:CA88"/>
    <mergeCell ref="AW89:CA89"/>
    <mergeCell ref="AW90:BZ90"/>
    <mergeCell ref="AW91:BF91"/>
    <mergeCell ref="BB92:BD92"/>
    <mergeCell ref="AW3:BG6"/>
    <mergeCell ref="BH3:BN6"/>
    <mergeCell ref="BO3:BQ6"/>
    <mergeCell ref="BR3:CA6"/>
    <mergeCell ref="AW7:BD10"/>
    <mergeCell ref="BE7:BN10"/>
    <mergeCell ref="BO7:BQ10"/>
    <mergeCell ref="BR7:CA8"/>
    <mergeCell ref="BR9:CA10"/>
    <mergeCell ref="AW11:BD13"/>
    <mergeCell ref="BE11:BN13"/>
    <mergeCell ref="BO11:BQ13"/>
    <mergeCell ref="BR11:CA13"/>
    <mergeCell ref="AW14:BD15"/>
    <mergeCell ref="BE15:BH16"/>
    <mergeCell ref="AW16:BD18"/>
    <mergeCell ref="BE17:BH18"/>
    <mergeCell ref="AY19:BD22"/>
    <mergeCell ref="BE19:CA20"/>
    <mergeCell ref="BM21:BN22"/>
    <mergeCell ref="BQ21:CA22"/>
    <mergeCell ref="AY23:BD26"/>
    <mergeCell ref="BE23:BH24"/>
    <mergeCell ref="BI23:CA24"/>
    <mergeCell ref="BM25:BN26"/>
    <mergeCell ref="BQ25:CA26"/>
    <mergeCell ref="AY27:BD28"/>
    <mergeCell ref="BE27:BM28"/>
    <mergeCell ref="BN27:BO31"/>
    <mergeCell ref="BP27:BR31"/>
    <mergeCell ref="BS27:BV31"/>
    <mergeCell ref="BW27:CA31"/>
    <mergeCell ref="AY29:BD31"/>
    <mergeCell ref="BE29:BM31"/>
    <mergeCell ref="AY32:BD36"/>
    <mergeCell ref="BE32:BP36"/>
    <mergeCell ref="BQ32:CA36"/>
    <mergeCell ref="BQ37:BT40"/>
    <mergeCell ref="BU37:CA40"/>
    <mergeCell ref="BQ41:BT44"/>
    <mergeCell ref="BU41:CA44"/>
    <mergeCell ref="AY44:BD48"/>
    <mergeCell ref="BE44:BP48"/>
    <mergeCell ref="BQ45:BT48"/>
    <mergeCell ref="BU45:CA48"/>
    <mergeCell ref="AY50:BA51"/>
    <mergeCell ref="BB50:BR51"/>
    <mergeCell ref="BT50:BW51"/>
    <mergeCell ref="BX50:CA51"/>
    <mergeCell ref="AY52:BA53"/>
    <mergeCell ref="BB52:BL53"/>
    <mergeCell ref="BM52:BN53"/>
    <mergeCell ref="BO52:BR53"/>
    <mergeCell ref="BT52:BW53"/>
    <mergeCell ref="BX52:CA53"/>
    <mergeCell ref="AY55:BR56"/>
    <mergeCell ref="BT55:BW56"/>
    <mergeCell ref="BX55:CA56"/>
    <mergeCell ref="BT57:BW59"/>
    <mergeCell ref="BX57:CA59"/>
    <mergeCell ref="AY58:BR59"/>
    <mergeCell ref="AY60:BE61"/>
    <mergeCell ref="BF60:BR61"/>
    <mergeCell ref="BT60:BW61"/>
    <mergeCell ref="BX60:CA61"/>
    <mergeCell ref="AY62:BE64"/>
    <mergeCell ref="BF63:BI64"/>
    <mergeCell ref="BJ63:BR64"/>
    <mergeCell ref="BT63:BW64"/>
    <mergeCell ref="BX63:CA64"/>
    <mergeCell ref="AY65:BD69"/>
    <mergeCell ref="BE65:BR69"/>
    <mergeCell ref="BT65:BW66"/>
    <mergeCell ref="BX65:CA66"/>
    <mergeCell ref="BT67:BW69"/>
    <mergeCell ref="BX67:CA69"/>
    <mergeCell ref="AY70:AZ73"/>
    <mergeCell ref="BA70:BH73"/>
    <mergeCell ref="BI70:BT73"/>
    <mergeCell ref="BU70:CA73"/>
    <mergeCell ref="AY74:AZ77"/>
    <mergeCell ref="BA74:BH77"/>
    <mergeCell ref="BI74:BR75"/>
    <mergeCell ref="BI76:BT77"/>
    <mergeCell ref="AY78:AZ81"/>
    <mergeCell ref="BA78:BH81"/>
    <mergeCell ref="BI78:BL79"/>
    <mergeCell ref="BM78:BT79"/>
    <mergeCell ref="BI80:BL81"/>
    <mergeCell ref="BM80:BT81"/>
    <mergeCell ref="AY82:AZ85"/>
    <mergeCell ref="BA82:BH85"/>
    <mergeCell ref="BI82:BR83"/>
    <mergeCell ref="BI84:BT85"/>
    <mergeCell ref="AW19:AX69"/>
    <mergeCell ref="AY37:BD43"/>
    <mergeCell ref="BE37:BF43"/>
    <mergeCell ref="BG37:BP43"/>
    <mergeCell ref="BS49:BS59"/>
    <mergeCell ref="BS60:BS69"/>
    <mergeCell ref="AW70:AX85"/>
    <mergeCell ref="BU74:CA85"/>
  </mergeCells>
  <phoneticPr fontId="2"/>
  <pageMargins left="0.7" right="0.7" top="0.75" bottom="0.75" header="0.3" footer="0.3"/>
  <pageSetup paperSize="9" scale="96"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47"/>
  <sheetViews>
    <sheetView showGridLines="0" zoomScaleSheetLayoutView="110" workbookViewId="0">
      <selection activeCell="T7" sqref="T7"/>
    </sheetView>
  </sheetViews>
  <sheetFormatPr defaultRowHeight="15" customHeight="1"/>
  <cols>
    <col min="1" max="1" width="2.125" style="358" customWidth="1"/>
    <col min="2" max="13" width="2.375" style="358" customWidth="1"/>
    <col min="14" max="22" width="2.5" style="358" customWidth="1"/>
    <col min="23" max="39" width="2.125" style="358" customWidth="1"/>
    <col min="40" max="40" width="2.5" style="358" customWidth="1"/>
    <col min="41" max="41" width="2.125" style="358" customWidth="1"/>
    <col min="42" max="256" width="9" style="358" bestFit="1" customWidth="1"/>
    <col min="257" max="16384" width="9" style="19" customWidth="1"/>
  </cols>
  <sheetData>
    <row r="1" spans="1:40" ht="15" customHeight="1">
      <c r="A1" s="358" t="s">
        <v>30</v>
      </c>
    </row>
    <row r="2" spans="1:40" ht="19.5" customHeight="1">
      <c r="A2" s="359" t="s">
        <v>54</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row>
    <row r="3" spans="1:40" ht="8.25" customHeight="1">
      <c r="A3" s="360"/>
      <c r="B3" s="360"/>
      <c r="C3" s="360"/>
      <c r="D3" s="360"/>
      <c r="E3" s="360"/>
      <c r="F3" s="360"/>
      <c r="G3" s="360"/>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row>
    <row r="4" spans="1:40" ht="19.5" customHeight="1">
      <c r="A4" s="361" t="s">
        <v>66</v>
      </c>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row>
    <row r="5" spans="1:40" ht="23.25" customHeight="1">
      <c r="A5" s="363"/>
      <c r="B5" s="363" t="s">
        <v>19</v>
      </c>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row>
    <row r="6" spans="1:40" ht="20.25" customHeight="1">
      <c r="A6" s="363"/>
      <c r="B6" s="363"/>
      <c r="C6" s="363"/>
      <c r="D6" s="363"/>
      <c r="E6" s="363" t="s">
        <v>36</v>
      </c>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row>
    <row r="7" spans="1:40" ht="7.5" customHeight="1">
      <c r="A7" s="363"/>
      <c r="B7" s="363"/>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row>
    <row r="8" spans="1:40" ht="20.25" customHeight="1">
      <c r="A8" s="363"/>
      <c r="B8" s="365" t="s">
        <v>42</v>
      </c>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row>
    <row r="9" spans="1:40" ht="20.25" customHeight="1">
      <c r="A9" s="363"/>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row>
    <row r="10" spans="1:40" ht="73.5" customHeight="1">
      <c r="A10" s="363"/>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row>
    <row r="11" spans="1:40" ht="15" customHeight="1">
      <c r="A11" s="363"/>
      <c r="B11" s="363"/>
      <c r="C11" s="363"/>
      <c r="D11" s="374" t="s">
        <v>67</v>
      </c>
      <c r="E11" s="377"/>
      <c r="F11" s="380" t="s">
        <v>28</v>
      </c>
      <c r="G11" s="390"/>
      <c r="H11" s="390"/>
      <c r="I11" s="390"/>
      <c r="J11" s="390"/>
      <c r="K11" s="390"/>
      <c r="L11" s="390"/>
      <c r="M11" s="407"/>
      <c r="N11" s="400" t="s">
        <v>55</v>
      </c>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36"/>
      <c r="AN11" s="362"/>
    </row>
    <row r="12" spans="1:40" ht="15" customHeight="1">
      <c r="A12" s="363"/>
      <c r="B12" s="363"/>
      <c r="C12" s="363"/>
      <c r="D12" s="375"/>
      <c r="E12" s="378"/>
      <c r="F12" s="386"/>
      <c r="G12" s="371"/>
      <c r="H12" s="371"/>
      <c r="I12" s="371"/>
      <c r="J12" s="371"/>
      <c r="K12" s="371"/>
      <c r="L12" s="371"/>
      <c r="M12" s="412"/>
      <c r="N12" s="401"/>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437"/>
      <c r="AN12" s="362"/>
    </row>
    <row r="13" spans="1:40" ht="15" customHeight="1">
      <c r="A13" s="363"/>
      <c r="B13" s="363"/>
      <c r="C13" s="363"/>
      <c r="D13" s="375"/>
      <c r="E13" s="378"/>
      <c r="F13" s="381"/>
      <c r="G13" s="391"/>
      <c r="H13" s="391"/>
      <c r="I13" s="391"/>
      <c r="J13" s="391"/>
      <c r="K13" s="391"/>
      <c r="L13" s="391"/>
      <c r="M13" s="408"/>
      <c r="N13" s="402"/>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38"/>
      <c r="AN13" s="362"/>
    </row>
    <row r="14" spans="1:40" ht="15" customHeight="1">
      <c r="A14" s="363"/>
      <c r="B14" s="363"/>
      <c r="C14" s="363"/>
      <c r="D14" s="375"/>
      <c r="E14" s="378"/>
      <c r="F14" s="387" t="s">
        <v>33</v>
      </c>
      <c r="G14" s="397"/>
      <c r="H14" s="390"/>
      <c r="I14" s="390"/>
      <c r="J14" s="390"/>
      <c r="K14" s="390"/>
      <c r="L14" s="390"/>
      <c r="M14" s="407"/>
      <c r="N14" s="415" t="s">
        <v>81</v>
      </c>
      <c r="O14" s="416"/>
      <c r="P14" s="416"/>
      <c r="Q14" s="416"/>
      <c r="R14" s="420"/>
      <c r="S14" s="424"/>
      <c r="T14" s="427"/>
      <c r="U14" s="427"/>
      <c r="V14" s="427"/>
      <c r="W14" s="427"/>
      <c r="X14" s="427"/>
      <c r="Y14" s="427"/>
      <c r="Z14" s="427"/>
      <c r="AA14" s="427"/>
      <c r="AB14" s="427"/>
      <c r="AC14" s="427"/>
      <c r="AD14" s="427"/>
      <c r="AE14" s="427"/>
      <c r="AF14" s="427"/>
      <c r="AG14" s="427"/>
      <c r="AH14" s="427"/>
      <c r="AI14" s="427"/>
      <c r="AJ14" s="427"/>
      <c r="AK14" s="427"/>
      <c r="AL14" s="427"/>
      <c r="AM14" s="439"/>
      <c r="AN14" s="362"/>
    </row>
    <row r="15" spans="1:40" ht="15" customHeight="1">
      <c r="A15" s="363"/>
      <c r="B15" s="363"/>
      <c r="C15" s="363"/>
      <c r="D15" s="375"/>
      <c r="E15" s="378"/>
      <c r="F15" s="388"/>
      <c r="G15" s="398"/>
      <c r="H15" s="362"/>
      <c r="I15" s="362"/>
      <c r="J15" s="362"/>
      <c r="K15" s="362"/>
      <c r="L15" s="362"/>
      <c r="M15" s="413"/>
      <c r="N15" s="380" t="s">
        <v>82</v>
      </c>
      <c r="O15" s="390"/>
      <c r="P15" s="390"/>
      <c r="Q15" s="390"/>
      <c r="R15" s="407"/>
      <c r="S15" s="400"/>
      <c r="T15" s="405"/>
      <c r="U15" s="405"/>
      <c r="V15" s="405"/>
      <c r="W15" s="405"/>
      <c r="X15" s="405"/>
      <c r="Y15" s="405"/>
      <c r="Z15" s="405"/>
      <c r="AA15" s="405"/>
      <c r="AB15" s="405"/>
      <c r="AC15" s="405"/>
      <c r="AD15" s="405"/>
      <c r="AE15" s="405"/>
      <c r="AF15" s="405"/>
      <c r="AG15" s="405"/>
      <c r="AH15" s="405"/>
      <c r="AI15" s="405"/>
      <c r="AJ15" s="405"/>
      <c r="AK15" s="405"/>
      <c r="AL15" s="405"/>
      <c r="AM15" s="436"/>
      <c r="AN15" s="371"/>
    </row>
    <row r="16" spans="1:40" ht="15" customHeight="1">
      <c r="A16" s="363"/>
      <c r="B16" s="363"/>
      <c r="C16" s="363"/>
      <c r="D16" s="375"/>
      <c r="E16" s="378"/>
      <c r="F16" s="388"/>
      <c r="G16" s="398"/>
      <c r="H16" s="362"/>
      <c r="I16" s="362"/>
      <c r="J16" s="362"/>
      <c r="K16" s="362"/>
      <c r="L16" s="362"/>
      <c r="M16" s="413"/>
      <c r="N16" s="386"/>
      <c r="O16" s="371"/>
      <c r="P16" s="371"/>
      <c r="Q16" s="371"/>
      <c r="R16" s="412"/>
      <c r="S16" s="401"/>
      <c r="T16" s="370"/>
      <c r="U16" s="370"/>
      <c r="V16" s="370"/>
      <c r="W16" s="370"/>
      <c r="X16" s="370"/>
      <c r="Y16" s="370"/>
      <c r="Z16" s="370"/>
      <c r="AA16" s="370"/>
      <c r="AB16" s="370"/>
      <c r="AC16" s="370"/>
      <c r="AD16" s="370"/>
      <c r="AE16" s="370"/>
      <c r="AF16" s="370"/>
      <c r="AG16" s="370"/>
      <c r="AH16" s="370"/>
      <c r="AI16" s="370"/>
      <c r="AJ16" s="370"/>
      <c r="AK16" s="370"/>
      <c r="AL16" s="370"/>
      <c r="AM16" s="437"/>
      <c r="AN16" s="371"/>
    </row>
    <row r="17" spans="1:43" ht="15" customHeight="1">
      <c r="A17" s="363"/>
      <c r="B17" s="363"/>
      <c r="C17" s="363"/>
      <c r="D17" s="376"/>
      <c r="E17" s="379"/>
      <c r="F17" s="389"/>
      <c r="G17" s="399"/>
      <c r="H17" s="404"/>
      <c r="I17" s="404"/>
      <c r="J17" s="404"/>
      <c r="K17" s="404"/>
      <c r="L17" s="404"/>
      <c r="M17" s="414"/>
      <c r="N17" s="381"/>
      <c r="O17" s="391"/>
      <c r="P17" s="391"/>
      <c r="Q17" s="391"/>
      <c r="R17" s="408"/>
      <c r="S17" s="402"/>
      <c r="T17" s="406"/>
      <c r="U17" s="406"/>
      <c r="V17" s="406"/>
      <c r="W17" s="406"/>
      <c r="X17" s="406"/>
      <c r="Y17" s="406"/>
      <c r="Z17" s="406"/>
      <c r="AA17" s="406"/>
      <c r="AB17" s="406"/>
      <c r="AC17" s="406"/>
      <c r="AD17" s="406"/>
      <c r="AE17" s="406"/>
      <c r="AF17" s="406"/>
      <c r="AG17" s="406"/>
      <c r="AH17" s="406"/>
      <c r="AI17" s="406"/>
      <c r="AJ17" s="406"/>
      <c r="AK17" s="406"/>
      <c r="AL17" s="406"/>
      <c r="AM17" s="438"/>
      <c r="AN17" s="371"/>
    </row>
    <row r="18" spans="1:43" ht="15" customHeight="1">
      <c r="A18" s="363"/>
      <c r="B18" s="363"/>
      <c r="C18" s="363"/>
      <c r="D18" s="362"/>
      <c r="E18" s="362" t="s">
        <v>68</v>
      </c>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3"/>
    </row>
    <row r="19" spans="1:43" ht="15" customHeight="1">
      <c r="A19" s="363"/>
      <c r="B19" s="363"/>
      <c r="C19" s="363"/>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3"/>
    </row>
    <row r="20" spans="1:43" ht="15" customHeight="1">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row>
    <row r="21" spans="1:43" ht="15" customHeight="1">
      <c r="A21" s="363"/>
      <c r="C21" s="363"/>
      <c r="D21" s="363"/>
      <c r="E21" s="363" t="s">
        <v>69</v>
      </c>
      <c r="F21" s="363"/>
      <c r="G21" s="363"/>
      <c r="H21" s="363"/>
      <c r="I21" s="363"/>
      <c r="J21" s="363"/>
      <c r="K21" s="363"/>
      <c r="L21" s="363"/>
      <c r="M21" s="363"/>
      <c r="N21" s="363"/>
      <c r="O21" s="363"/>
      <c r="P21" s="363"/>
      <c r="Q21" s="363"/>
      <c r="R21" s="363"/>
      <c r="S21" s="363"/>
      <c r="T21" s="363"/>
      <c r="U21" s="363"/>
      <c r="V21" s="363"/>
      <c r="W21" s="363"/>
      <c r="X21" s="363"/>
      <c r="Y21" s="363"/>
      <c r="Z21" s="363"/>
      <c r="AA21" s="363"/>
      <c r="AB21" s="432" t="s">
        <v>85</v>
      </c>
      <c r="AC21" s="432"/>
      <c r="AD21" s="432"/>
      <c r="AE21" s="432"/>
      <c r="AF21" s="432"/>
      <c r="AG21" s="432"/>
      <c r="AH21" s="432"/>
      <c r="AI21" s="432"/>
      <c r="AJ21" s="432"/>
      <c r="AK21" s="432"/>
      <c r="AL21" s="369"/>
      <c r="AM21" s="369"/>
      <c r="AN21" s="369"/>
    </row>
    <row r="22" spans="1:43" ht="15.75" customHeight="1">
      <c r="A22" s="362"/>
      <c r="B22" s="367"/>
      <c r="C22" s="368"/>
      <c r="D22" s="368"/>
      <c r="E22" s="380" t="s">
        <v>70</v>
      </c>
      <c r="F22" s="390"/>
      <c r="G22" s="390"/>
      <c r="H22" s="390"/>
      <c r="I22" s="390"/>
      <c r="J22" s="407"/>
      <c r="K22" s="383" t="s">
        <v>47</v>
      </c>
      <c r="L22" s="393"/>
      <c r="M22" s="393"/>
      <c r="N22" s="393"/>
      <c r="O22" s="393"/>
      <c r="P22" s="393"/>
      <c r="Q22" s="417"/>
      <c r="R22" s="383" t="s">
        <v>45</v>
      </c>
      <c r="S22" s="393"/>
      <c r="T22" s="393"/>
      <c r="U22" s="393"/>
      <c r="V22" s="393"/>
      <c r="W22" s="393"/>
      <c r="X22" s="393"/>
      <c r="Y22" s="393"/>
      <c r="Z22" s="393"/>
      <c r="AA22" s="417"/>
      <c r="AB22" s="383" t="s">
        <v>63</v>
      </c>
      <c r="AC22" s="393"/>
      <c r="AD22" s="393"/>
      <c r="AE22" s="393"/>
      <c r="AF22" s="393"/>
      <c r="AG22" s="393"/>
      <c r="AH22" s="393"/>
      <c r="AI22" s="393"/>
      <c r="AJ22" s="393"/>
      <c r="AK22" s="417"/>
    </row>
    <row r="23" spans="1:43" ht="15.75" customHeight="1">
      <c r="A23" s="362"/>
      <c r="B23" s="368"/>
      <c r="C23" s="368"/>
      <c r="D23" s="368"/>
      <c r="E23" s="381"/>
      <c r="F23" s="391"/>
      <c r="G23" s="391"/>
      <c r="H23" s="391"/>
      <c r="I23" s="391"/>
      <c r="J23" s="408"/>
      <c r="K23" s="384"/>
      <c r="L23" s="394"/>
      <c r="M23" s="394"/>
      <c r="N23" s="394"/>
      <c r="O23" s="394"/>
      <c r="P23" s="394"/>
      <c r="Q23" s="418"/>
      <c r="R23" s="384"/>
      <c r="S23" s="394"/>
      <c r="T23" s="394"/>
      <c r="U23" s="394"/>
      <c r="V23" s="394"/>
      <c r="W23" s="394"/>
      <c r="X23" s="394"/>
      <c r="Y23" s="394"/>
      <c r="Z23" s="394"/>
      <c r="AA23" s="418"/>
      <c r="AB23" s="384"/>
      <c r="AC23" s="394"/>
      <c r="AD23" s="394"/>
      <c r="AE23" s="394"/>
      <c r="AF23" s="394"/>
      <c r="AG23" s="394"/>
      <c r="AH23" s="394"/>
      <c r="AI23" s="394"/>
      <c r="AJ23" s="394"/>
      <c r="AK23" s="418"/>
    </row>
    <row r="24" spans="1:43" ht="21" customHeight="1">
      <c r="A24" s="362"/>
      <c r="B24" s="369"/>
      <c r="C24" s="369"/>
      <c r="D24" s="370"/>
      <c r="E24" s="382"/>
      <c r="F24" s="392"/>
      <c r="G24" s="392"/>
      <c r="H24" s="392"/>
      <c r="I24" s="392"/>
      <c r="J24" s="409"/>
      <c r="K24" s="410" t="s">
        <v>80</v>
      </c>
      <c r="L24" s="411"/>
      <c r="M24" s="411"/>
      <c r="N24" s="411"/>
      <c r="O24" s="411"/>
      <c r="P24" s="411"/>
      <c r="Q24" s="419"/>
      <c r="R24" s="421"/>
      <c r="S24" s="425"/>
      <c r="T24" s="425"/>
      <c r="U24" s="425"/>
      <c r="V24" s="425"/>
      <c r="W24" s="425"/>
      <c r="X24" s="425"/>
      <c r="Y24" s="425"/>
      <c r="Z24" s="425"/>
      <c r="AA24" s="431"/>
      <c r="AB24" s="433"/>
      <c r="AC24" s="434"/>
      <c r="AD24" s="434"/>
      <c r="AE24" s="434"/>
      <c r="AF24" s="434"/>
      <c r="AG24" s="434"/>
      <c r="AH24" s="434"/>
      <c r="AI24" s="434"/>
      <c r="AJ24" s="434"/>
      <c r="AK24" s="435"/>
      <c r="AQ24" s="440"/>
    </row>
    <row r="25" spans="1:43" ht="21" customHeight="1">
      <c r="A25" s="362"/>
      <c r="B25" s="369"/>
      <c r="C25" s="369"/>
      <c r="D25" s="370"/>
      <c r="E25" s="382"/>
      <c r="F25" s="392"/>
      <c r="G25" s="392"/>
      <c r="H25" s="392"/>
      <c r="I25" s="392"/>
      <c r="J25" s="409"/>
      <c r="K25" s="410" t="s">
        <v>80</v>
      </c>
      <c r="L25" s="411"/>
      <c r="M25" s="411"/>
      <c r="N25" s="411"/>
      <c r="O25" s="411"/>
      <c r="P25" s="411"/>
      <c r="Q25" s="419"/>
      <c r="R25" s="421"/>
      <c r="S25" s="425"/>
      <c r="T25" s="425"/>
      <c r="U25" s="425"/>
      <c r="V25" s="425"/>
      <c r="W25" s="425"/>
      <c r="X25" s="425"/>
      <c r="Y25" s="425"/>
      <c r="Z25" s="425"/>
      <c r="AA25" s="431"/>
      <c r="AB25" s="433"/>
      <c r="AC25" s="434"/>
      <c r="AD25" s="434"/>
      <c r="AE25" s="434"/>
      <c r="AF25" s="434"/>
      <c r="AG25" s="434"/>
      <c r="AH25" s="434"/>
      <c r="AI25" s="434"/>
      <c r="AJ25" s="434"/>
      <c r="AK25" s="435"/>
    </row>
    <row r="26" spans="1:43" ht="21" customHeight="1">
      <c r="A26" s="362"/>
      <c r="B26" s="369"/>
      <c r="C26" s="369"/>
      <c r="D26" s="370"/>
      <c r="E26" s="382"/>
      <c r="F26" s="392"/>
      <c r="G26" s="392"/>
      <c r="H26" s="392"/>
      <c r="I26" s="392"/>
      <c r="J26" s="409"/>
      <c r="K26" s="410" t="s">
        <v>80</v>
      </c>
      <c r="L26" s="411"/>
      <c r="M26" s="411"/>
      <c r="N26" s="411"/>
      <c r="O26" s="411"/>
      <c r="P26" s="411"/>
      <c r="Q26" s="419"/>
      <c r="R26" s="410"/>
      <c r="S26" s="411"/>
      <c r="T26" s="411"/>
      <c r="U26" s="411"/>
      <c r="V26" s="411"/>
      <c r="W26" s="411"/>
      <c r="X26" s="411"/>
      <c r="Y26" s="411"/>
      <c r="Z26" s="411"/>
      <c r="AA26" s="419"/>
      <c r="AB26" s="415"/>
      <c r="AC26" s="416"/>
      <c r="AD26" s="416"/>
      <c r="AE26" s="416"/>
      <c r="AF26" s="416"/>
      <c r="AG26" s="416"/>
      <c r="AH26" s="416"/>
      <c r="AI26" s="416"/>
      <c r="AJ26" s="416"/>
      <c r="AK26" s="420"/>
    </row>
    <row r="27" spans="1:43" ht="21" customHeight="1">
      <c r="A27" s="362"/>
      <c r="B27" s="369"/>
      <c r="C27" s="369"/>
      <c r="D27" s="370"/>
      <c r="E27" s="382"/>
      <c r="F27" s="392"/>
      <c r="G27" s="392"/>
      <c r="H27" s="392"/>
      <c r="I27" s="392"/>
      <c r="J27" s="409"/>
      <c r="K27" s="410" t="s">
        <v>80</v>
      </c>
      <c r="L27" s="411"/>
      <c r="M27" s="411"/>
      <c r="N27" s="411"/>
      <c r="O27" s="411"/>
      <c r="P27" s="411"/>
      <c r="Q27" s="419"/>
      <c r="R27" s="410"/>
      <c r="S27" s="411"/>
      <c r="T27" s="411"/>
      <c r="U27" s="411"/>
      <c r="V27" s="411"/>
      <c r="W27" s="411"/>
      <c r="X27" s="411"/>
      <c r="Y27" s="411"/>
      <c r="Z27" s="411"/>
      <c r="AA27" s="419"/>
      <c r="AB27" s="415"/>
      <c r="AC27" s="416"/>
      <c r="AD27" s="416"/>
      <c r="AE27" s="416"/>
      <c r="AF27" s="416"/>
      <c r="AG27" s="416"/>
      <c r="AH27" s="416"/>
      <c r="AI27" s="416"/>
      <c r="AJ27" s="416"/>
      <c r="AK27" s="420"/>
    </row>
    <row r="28" spans="1:43" ht="21" customHeight="1">
      <c r="A28" s="362"/>
      <c r="B28" s="369"/>
      <c r="C28" s="369"/>
      <c r="D28" s="370"/>
      <c r="E28" s="382"/>
      <c r="F28" s="392"/>
      <c r="G28" s="392"/>
      <c r="H28" s="392"/>
      <c r="I28" s="392"/>
      <c r="J28" s="409"/>
      <c r="K28" s="410" t="s">
        <v>80</v>
      </c>
      <c r="L28" s="411"/>
      <c r="M28" s="411"/>
      <c r="N28" s="411"/>
      <c r="O28" s="411"/>
      <c r="P28" s="411"/>
      <c r="Q28" s="419"/>
      <c r="R28" s="410"/>
      <c r="S28" s="411"/>
      <c r="T28" s="411"/>
      <c r="U28" s="411"/>
      <c r="V28" s="411"/>
      <c r="W28" s="411"/>
      <c r="X28" s="411"/>
      <c r="Y28" s="411"/>
      <c r="Z28" s="411"/>
      <c r="AA28" s="419"/>
      <c r="AB28" s="415"/>
      <c r="AC28" s="416"/>
      <c r="AD28" s="416"/>
      <c r="AE28" s="416"/>
      <c r="AF28" s="416"/>
      <c r="AG28" s="416"/>
      <c r="AH28" s="416"/>
      <c r="AI28" s="416"/>
      <c r="AJ28" s="416"/>
      <c r="AK28" s="420"/>
    </row>
    <row r="29" spans="1:43" ht="21" customHeight="1">
      <c r="A29" s="362"/>
      <c r="B29" s="369"/>
      <c r="C29" s="369"/>
      <c r="D29" s="370"/>
      <c r="E29" s="382"/>
      <c r="F29" s="392"/>
      <c r="G29" s="392"/>
      <c r="H29" s="392"/>
      <c r="I29" s="392"/>
      <c r="J29" s="409"/>
      <c r="K29" s="410" t="s">
        <v>80</v>
      </c>
      <c r="L29" s="411"/>
      <c r="M29" s="411"/>
      <c r="N29" s="411"/>
      <c r="O29" s="411"/>
      <c r="P29" s="411"/>
      <c r="Q29" s="419"/>
      <c r="R29" s="410"/>
      <c r="S29" s="411"/>
      <c r="T29" s="411"/>
      <c r="U29" s="411"/>
      <c r="V29" s="411"/>
      <c r="W29" s="411"/>
      <c r="X29" s="411"/>
      <c r="Y29" s="411"/>
      <c r="Z29" s="411"/>
      <c r="AA29" s="419"/>
      <c r="AB29" s="415"/>
      <c r="AC29" s="416"/>
      <c r="AD29" s="416"/>
      <c r="AE29" s="416"/>
      <c r="AF29" s="416"/>
      <c r="AG29" s="416"/>
      <c r="AH29" s="416"/>
      <c r="AI29" s="416"/>
      <c r="AJ29" s="416"/>
      <c r="AK29" s="420"/>
    </row>
    <row r="30" spans="1:43" ht="21" customHeight="1">
      <c r="A30" s="362"/>
      <c r="B30" s="369"/>
      <c r="C30" s="369"/>
      <c r="D30" s="370"/>
      <c r="E30" s="382"/>
      <c r="F30" s="392"/>
      <c r="G30" s="392"/>
      <c r="H30" s="392"/>
      <c r="I30" s="392"/>
      <c r="J30" s="409"/>
      <c r="K30" s="410" t="s">
        <v>80</v>
      </c>
      <c r="L30" s="411"/>
      <c r="M30" s="411"/>
      <c r="N30" s="411"/>
      <c r="O30" s="411"/>
      <c r="P30" s="411"/>
      <c r="Q30" s="419"/>
      <c r="R30" s="410"/>
      <c r="S30" s="411"/>
      <c r="T30" s="411"/>
      <c r="U30" s="411"/>
      <c r="V30" s="411"/>
      <c r="W30" s="411"/>
      <c r="X30" s="411"/>
      <c r="Y30" s="411"/>
      <c r="Z30" s="411"/>
      <c r="AA30" s="419"/>
      <c r="AB30" s="415"/>
      <c r="AC30" s="416"/>
      <c r="AD30" s="416"/>
      <c r="AE30" s="416"/>
      <c r="AF30" s="416"/>
      <c r="AG30" s="416"/>
      <c r="AH30" s="416"/>
      <c r="AI30" s="416"/>
      <c r="AJ30" s="416"/>
      <c r="AK30" s="420"/>
    </row>
    <row r="31" spans="1:43" ht="21" customHeight="1">
      <c r="A31" s="362"/>
      <c r="B31" s="369"/>
      <c r="C31" s="369"/>
      <c r="D31" s="370"/>
      <c r="E31" s="382"/>
      <c r="F31" s="392"/>
      <c r="G31" s="392"/>
      <c r="H31" s="392"/>
      <c r="I31" s="392"/>
      <c r="J31" s="409"/>
      <c r="K31" s="410" t="s">
        <v>80</v>
      </c>
      <c r="L31" s="411"/>
      <c r="M31" s="411"/>
      <c r="N31" s="411"/>
      <c r="O31" s="411"/>
      <c r="P31" s="411"/>
      <c r="Q31" s="419"/>
      <c r="R31" s="410"/>
      <c r="S31" s="411"/>
      <c r="T31" s="411"/>
      <c r="U31" s="411"/>
      <c r="V31" s="411"/>
      <c r="W31" s="411"/>
      <c r="X31" s="411"/>
      <c r="Y31" s="411"/>
      <c r="Z31" s="411"/>
      <c r="AA31" s="419"/>
      <c r="AB31" s="415"/>
      <c r="AC31" s="416"/>
      <c r="AD31" s="416"/>
      <c r="AE31" s="416"/>
      <c r="AF31" s="416"/>
      <c r="AG31" s="416"/>
      <c r="AH31" s="416"/>
      <c r="AI31" s="416"/>
      <c r="AJ31" s="416"/>
      <c r="AK31" s="420"/>
    </row>
    <row r="32" spans="1:43" ht="21" customHeight="1">
      <c r="A32" s="362"/>
      <c r="B32" s="369"/>
      <c r="C32" s="369"/>
      <c r="D32" s="370"/>
      <c r="E32" s="382"/>
      <c r="F32" s="392"/>
      <c r="G32" s="392"/>
      <c r="H32" s="392"/>
      <c r="I32" s="392"/>
      <c r="J32" s="409"/>
      <c r="K32" s="410" t="s">
        <v>80</v>
      </c>
      <c r="L32" s="411"/>
      <c r="M32" s="411"/>
      <c r="N32" s="411"/>
      <c r="O32" s="411"/>
      <c r="P32" s="411"/>
      <c r="Q32" s="419"/>
      <c r="R32" s="410"/>
      <c r="S32" s="411"/>
      <c r="T32" s="411"/>
      <c r="U32" s="411"/>
      <c r="V32" s="411"/>
      <c r="W32" s="411"/>
      <c r="X32" s="411"/>
      <c r="Y32" s="411"/>
      <c r="Z32" s="411"/>
      <c r="AA32" s="419"/>
      <c r="AB32" s="415"/>
      <c r="AC32" s="416"/>
      <c r="AD32" s="416"/>
      <c r="AE32" s="416"/>
      <c r="AF32" s="416"/>
      <c r="AG32" s="416"/>
      <c r="AH32" s="416"/>
      <c r="AI32" s="416"/>
      <c r="AJ32" s="416"/>
      <c r="AK32" s="420"/>
    </row>
    <row r="33" spans="1:40" ht="21" customHeight="1">
      <c r="A33" s="362"/>
      <c r="B33" s="369"/>
      <c r="C33" s="369"/>
      <c r="D33" s="370"/>
      <c r="E33" s="382"/>
      <c r="F33" s="392"/>
      <c r="G33" s="392"/>
      <c r="H33" s="392"/>
      <c r="I33" s="392"/>
      <c r="J33" s="409"/>
      <c r="K33" s="410" t="s">
        <v>80</v>
      </c>
      <c r="L33" s="411"/>
      <c r="M33" s="411"/>
      <c r="N33" s="411"/>
      <c r="O33" s="411"/>
      <c r="P33" s="411"/>
      <c r="Q33" s="419"/>
      <c r="R33" s="410"/>
      <c r="S33" s="411"/>
      <c r="T33" s="411"/>
      <c r="U33" s="411"/>
      <c r="V33" s="411"/>
      <c r="W33" s="411"/>
      <c r="X33" s="411"/>
      <c r="Y33" s="411"/>
      <c r="Z33" s="411"/>
      <c r="AA33" s="419"/>
      <c r="AB33" s="415"/>
      <c r="AC33" s="416"/>
      <c r="AD33" s="416"/>
      <c r="AE33" s="416"/>
      <c r="AF33" s="416"/>
      <c r="AG33" s="416"/>
      <c r="AH33" s="416"/>
      <c r="AI33" s="416"/>
      <c r="AJ33" s="416"/>
      <c r="AK33" s="420"/>
    </row>
    <row r="34" spans="1:40" ht="21" customHeight="1">
      <c r="A34" s="362"/>
      <c r="B34" s="369"/>
      <c r="C34" s="369"/>
      <c r="D34" s="370"/>
      <c r="E34" s="382"/>
      <c r="F34" s="392"/>
      <c r="G34" s="392"/>
      <c r="H34" s="392"/>
      <c r="I34" s="392"/>
      <c r="J34" s="409"/>
      <c r="K34" s="410" t="s">
        <v>80</v>
      </c>
      <c r="L34" s="411"/>
      <c r="M34" s="411"/>
      <c r="N34" s="411"/>
      <c r="O34" s="411"/>
      <c r="P34" s="411"/>
      <c r="Q34" s="419"/>
      <c r="R34" s="410"/>
      <c r="S34" s="411"/>
      <c r="T34" s="411"/>
      <c r="U34" s="411"/>
      <c r="V34" s="411"/>
      <c r="W34" s="411"/>
      <c r="X34" s="411"/>
      <c r="Y34" s="411"/>
      <c r="Z34" s="411"/>
      <c r="AA34" s="419"/>
      <c r="AB34" s="415"/>
      <c r="AC34" s="416"/>
      <c r="AD34" s="416"/>
      <c r="AE34" s="416"/>
      <c r="AF34" s="416"/>
      <c r="AG34" s="416"/>
      <c r="AH34" s="416"/>
      <c r="AI34" s="416"/>
      <c r="AJ34" s="416"/>
      <c r="AK34" s="420"/>
    </row>
    <row r="35" spans="1:40" ht="15.75" customHeight="1">
      <c r="A35" s="362"/>
      <c r="B35" s="367"/>
      <c r="C35" s="370"/>
      <c r="D35" s="370"/>
      <c r="E35" s="383" t="s">
        <v>71</v>
      </c>
      <c r="F35" s="393"/>
      <c r="G35" s="393"/>
      <c r="H35" s="393"/>
      <c r="I35" s="393"/>
      <c r="J35" s="393"/>
      <c r="K35" s="393"/>
      <c r="L35" s="393"/>
      <c r="M35" s="393"/>
      <c r="N35" s="393"/>
      <c r="O35" s="393"/>
      <c r="P35" s="393"/>
      <c r="Q35" s="417"/>
      <c r="R35" s="422" t="s">
        <v>84</v>
      </c>
      <c r="S35" s="426"/>
      <c r="T35" s="428"/>
      <c r="U35" s="393"/>
      <c r="V35" s="393"/>
      <c r="W35" s="393"/>
      <c r="X35" s="393"/>
      <c r="Y35" s="393"/>
      <c r="Z35" s="393"/>
      <c r="AA35" s="417"/>
      <c r="AB35" s="422" t="s">
        <v>86</v>
      </c>
      <c r="AC35" s="426"/>
      <c r="AD35" s="426"/>
      <c r="AE35" s="390"/>
      <c r="AF35" s="390"/>
      <c r="AG35" s="390"/>
      <c r="AH35" s="390"/>
      <c r="AI35" s="390"/>
      <c r="AJ35" s="390"/>
      <c r="AK35" s="407"/>
    </row>
    <row r="36" spans="1:40" ht="15.75" customHeight="1">
      <c r="A36" s="362"/>
      <c r="B36" s="370"/>
      <c r="C36" s="370"/>
      <c r="D36" s="370"/>
      <c r="E36" s="384"/>
      <c r="F36" s="394"/>
      <c r="G36" s="394"/>
      <c r="H36" s="394"/>
      <c r="I36" s="394"/>
      <c r="J36" s="394"/>
      <c r="K36" s="394"/>
      <c r="L36" s="394"/>
      <c r="M36" s="394"/>
      <c r="N36" s="394"/>
      <c r="O36" s="394"/>
      <c r="P36" s="394"/>
      <c r="Q36" s="418"/>
      <c r="R36" s="423"/>
      <c r="S36" s="404"/>
      <c r="T36" s="429"/>
      <c r="U36" s="394"/>
      <c r="V36" s="394"/>
      <c r="W36" s="394"/>
      <c r="X36" s="394"/>
      <c r="Y36" s="394"/>
      <c r="Z36" s="394"/>
      <c r="AA36" s="418"/>
      <c r="AB36" s="423"/>
      <c r="AC36" s="404"/>
      <c r="AD36" s="404"/>
      <c r="AE36" s="391"/>
      <c r="AF36" s="391"/>
      <c r="AG36" s="391"/>
      <c r="AH36" s="391"/>
      <c r="AI36" s="391"/>
      <c r="AJ36" s="391"/>
      <c r="AK36" s="408"/>
    </row>
    <row r="37" spans="1:40" ht="9" customHeight="1">
      <c r="A37" s="362"/>
      <c r="B37" s="371"/>
      <c r="C37" s="371"/>
      <c r="D37" s="371"/>
      <c r="E37" s="371"/>
      <c r="F37" s="371"/>
      <c r="G37" s="371"/>
      <c r="H37" s="371"/>
      <c r="I37" s="371"/>
      <c r="J37" s="371"/>
      <c r="K37" s="371"/>
      <c r="L37" s="371"/>
      <c r="M37" s="371"/>
      <c r="N37" s="371"/>
      <c r="O37" s="371"/>
      <c r="P37" s="371"/>
      <c r="Q37" s="371"/>
      <c r="R37" s="371"/>
      <c r="S37" s="371"/>
      <c r="T37" s="371"/>
      <c r="U37" s="371"/>
      <c r="V37" s="371"/>
      <c r="W37" s="362"/>
      <c r="X37" s="362"/>
      <c r="Y37" s="430"/>
      <c r="Z37" s="430"/>
      <c r="AA37" s="430"/>
      <c r="AB37" s="430"/>
      <c r="AC37" s="430"/>
      <c r="AD37" s="430"/>
      <c r="AE37" s="430"/>
      <c r="AF37" s="362"/>
      <c r="AG37" s="362"/>
      <c r="AH37" s="430"/>
      <c r="AI37" s="430"/>
      <c r="AJ37" s="430"/>
      <c r="AK37" s="430"/>
      <c r="AL37" s="430"/>
      <c r="AM37" s="430"/>
      <c r="AN37" s="430"/>
    </row>
    <row r="38" spans="1:40" ht="15" customHeight="1">
      <c r="A38" s="364"/>
      <c r="B38" s="372" t="s">
        <v>64</v>
      </c>
      <c r="C38" s="373"/>
      <c r="D38" s="373"/>
      <c r="E38" s="385">
        <v>1</v>
      </c>
      <c r="F38" s="385"/>
      <c r="G38" s="385" t="s">
        <v>74</v>
      </c>
      <c r="H38" s="385"/>
      <c r="I38" s="385"/>
      <c r="J38" s="385"/>
      <c r="K38" s="385"/>
      <c r="L38" s="385"/>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row>
    <row r="39" spans="1:40" ht="15" customHeight="1">
      <c r="A39" s="363"/>
      <c r="B39" s="363"/>
      <c r="C39" s="363"/>
      <c r="D39" s="363"/>
      <c r="E39" s="363"/>
      <c r="F39" s="363"/>
      <c r="G39" s="400" t="s">
        <v>75</v>
      </c>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36"/>
      <c r="AN39" s="368"/>
    </row>
    <row r="40" spans="1:40" ht="15" customHeight="1">
      <c r="A40" s="363"/>
      <c r="B40" s="363"/>
      <c r="C40" s="363"/>
      <c r="D40" s="363"/>
      <c r="E40" s="363"/>
      <c r="F40" s="363"/>
      <c r="G40" s="401"/>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437"/>
      <c r="AN40" s="368"/>
    </row>
    <row r="41" spans="1:40" ht="15" customHeight="1">
      <c r="A41" s="363"/>
      <c r="B41" s="363"/>
      <c r="C41" s="363"/>
      <c r="D41" s="363"/>
      <c r="E41" s="363"/>
      <c r="F41" s="363"/>
      <c r="G41" s="401"/>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437"/>
      <c r="AN41" s="368"/>
    </row>
    <row r="42" spans="1:40" ht="15" customHeight="1">
      <c r="A42" s="363"/>
      <c r="B42" s="363"/>
      <c r="C42" s="363"/>
      <c r="D42" s="363"/>
      <c r="E42" s="363"/>
      <c r="F42" s="363"/>
      <c r="G42" s="402"/>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38"/>
      <c r="AN42" s="368"/>
    </row>
    <row r="43" spans="1:40" ht="15" customHeight="1">
      <c r="A43" s="363"/>
      <c r="B43" s="363"/>
      <c r="C43" s="363"/>
      <c r="D43" s="363"/>
      <c r="E43" s="385">
        <v>2</v>
      </c>
      <c r="F43" s="385"/>
      <c r="G43" s="403" t="s">
        <v>76</v>
      </c>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68"/>
    </row>
    <row r="44" spans="1:40" ht="15" customHeight="1">
      <c r="A44" s="363"/>
      <c r="B44" s="363"/>
      <c r="C44" s="363"/>
      <c r="D44" s="363"/>
      <c r="E44" s="385">
        <v>3</v>
      </c>
      <c r="F44" s="385"/>
      <c r="G44" s="385" t="s">
        <v>77</v>
      </c>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row>
    <row r="45" spans="1:40" ht="15" customHeight="1">
      <c r="A45" s="363"/>
      <c r="B45" s="363"/>
      <c r="C45" s="363"/>
      <c r="D45" s="363"/>
      <c r="E45" s="385">
        <v>4</v>
      </c>
      <c r="F45" s="385"/>
      <c r="G45" s="385" t="s">
        <v>79</v>
      </c>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63"/>
    </row>
    <row r="46" spans="1:40" ht="15" customHeight="1">
      <c r="A46" s="363"/>
      <c r="B46" s="363"/>
      <c r="C46" s="363"/>
      <c r="D46" s="363"/>
      <c r="E46" s="385">
        <v>5</v>
      </c>
      <c r="F46" s="395" t="s">
        <v>73</v>
      </c>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row>
    <row r="47" spans="1:40" ht="15" customHeight="1">
      <c r="E47" s="363"/>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row>
  </sheetData>
  <mergeCells count="67">
    <mergeCell ref="A2:AN2"/>
    <mergeCell ref="A3:G3"/>
    <mergeCell ref="A4:AN4"/>
    <mergeCell ref="N14:R14"/>
    <mergeCell ref="S14:AM14"/>
    <mergeCell ref="AB21:AK21"/>
    <mergeCell ref="E24:J24"/>
    <mergeCell ref="K24:Q24"/>
    <mergeCell ref="R24:AA24"/>
    <mergeCell ref="AB24:AK24"/>
    <mergeCell ref="E25:J25"/>
    <mergeCell ref="K25:Q25"/>
    <mergeCell ref="R25:AA25"/>
    <mergeCell ref="AB25:AK25"/>
    <mergeCell ref="E26:J26"/>
    <mergeCell ref="K26:Q26"/>
    <mergeCell ref="R26:AA26"/>
    <mergeCell ref="AB26:AK26"/>
    <mergeCell ref="E27:J27"/>
    <mergeCell ref="K27:Q27"/>
    <mergeCell ref="R27:AA27"/>
    <mergeCell ref="AB27:AK27"/>
    <mergeCell ref="E28:J28"/>
    <mergeCell ref="K28:Q28"/>
    <mergeCell ref="R28:AA28"/>
    <mergeCell ref="AB28:AK28"/>
    <mergeCell ref="E29:J29"/>
    <mergeCell ref="K29:Q29"/>
    <mergeCell ref="R29:AA29"/>
    <mergeCell ref="AB29:AK29"/>
    <mergeCell ref="E30:J30"/>
    <mergeCell ref="K30:Q30"/>
    <mergeCell ref="R30:AA30"/>
    <mergeCell ref="AB30:AK30"/>
    <mergeCell ref="E31:J31"/>
    <mergeCell ref="K31:Q31"/>
    <mergeCell ref="R31:AA31"/>
    <mergeCell ref="AB31:AK31"/>
    <mergeCell ref="E32:J32"/>
    <mergeCell ref="K32:Q32"/>
    <mergeCell ref="R32:AA32"/>
    <mergeCell ref="AB32:AK32"/>
    <mergeCell ref="E33:J33"/>
    <mergeCell ref="K33:Q33"/>
    <mergeCell ref="R33:AA33"/>
    <mergeCell ref="AB33:AK33"/>
    <mergeCell ref="E34:J34"/>
    <mergeCell ref="K34:Q34"/>
    <mergeCell ref="R34:AA34"/>
    <mergeCell ref="AB34:AK34"/>
    <mergeCell ref="B38:D38"/>
    <mergeCell ref="B8:AN10"/>
    <mergeCell ref="F11:M13"/>
    <mergeCell ref="N11:AM13"/>
    <mergeCell ref="F14:G17"/>
    <mergeCell ref="N15:R17"/>
    <mergeCell ref="S15:AM17"/>
    <mergeCell ref="E22:J23"/>
    <mergeCell ref="K22:Q23"/>
    <mergeCell ref="R22:AA23"/>
    <mergeCell ref="AB22:AK23"/>
    <mergeCell ref="E35:Q36"/>
    <mergeCell ref="U35:AA36"/>
    <mergeCell ref="AE35:AK36"/>
    <mergeCell ref="G39:AM42"/>
    <mergeCell ref="F46:AN47"/>
    <mergeCell ref="D11:E17"/>
  </mergeCells>
  <phoneticPr fontId="2"/>
  <pageMargins left="0.59055118110236227" right="0.59055118110236227" top="0.19685039370078741" bottom="0" header="0.31496062992125984" footer="0.31496062992125984"/>
  <pageSetup paperSize="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52"/>
  <sheetViews>
    <sheetView showGridLines="0" zoomScaleSheetLayoutView="100" workbookViewId="0">
      <selection activeCell="E31" sqref="E31:AQ34"/>
    </sheetView>
  </sheetViews>
  <sheetFormatPr defaultRowHeight="15" customHeight="1"/>
  <cols>
    <col min="1" max="38" width="2.125" style="358" customWidth="1"/>
    <col min="39" max="39" width="4.5" style="358" customWidth="1"/>
    <col min="40" max="42" width="2.125" style="358" customWidth="1"/>
    <col min="43" max="43" width="2.5" style="358" customWidth="1"/>
    <col min="44" max="44" width="2.125" style="358" customWidth="1"/>
    <col min="45" max="256" width="9" style="358" bestFit="1" customWidth="1"/>
    <col min="257" max="16384" width="9" style="19" customWidth="1"/>
  </cols>
  <sheetData>
    <row r="1" spans="1:43" ht="18.75" customHeight="1">
      <c r="A1" s="359" t="s">
        <v>87</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row>
    <row r="2" spans="1:43" ht="14.25" customHeight="1">
      <c r="A2" s="359"/>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row>
    <row r="3" spans="1:43" ht="21" customHeight="1">
      <c r="B3" s="441" t="s">
        <v>90</v>
      </c>
      <c r="C3" s="406"/>
      <c r="D3" s="406"/>
      <c r="E3" s="406"/>
      <c r="F3" s="406"/>
      <c r="G3" s="406"/>
      <c r="H3" s="406"/>
      <c r="I3" s="406"/>
      <c r="J3" s="406"/>
      <c r="K3" s="406"/>
      <c r="L3" s="406"/>
      <c r="M3" s="406"/>
      <c r="N3" s="406"/>
      <c r="O3" s="406"/>
      <c r="P3" s="406"/>
      <c r="Q3" s="406"/>
      <c r="R3" s="406"/>
      <c r="S3" s="406"/>
      <c r="T3" s="406"/>
      <c r="U3" s="406"/>
      <c r="V3" s="406"/>
      <c r="W3" s="406"/>
      <c r="X3" s="406"/>
      <c r="Y3" s="406"/>
      <c r="Z3" s="406"/>
      <c r="AA3" s="363"/>
      <c r="AB3" s="363"/>
      <c r="AC3" s="363"/>
      <c r="AD3" s="363"/>
      <c r="AE3" s="363"/>
      <c r="AF3" s="432" t="s">
        <v>85</v>
      </c>
      <c r="AG3" s="432"/>
      <c r="AH3" s="432"/>
      <c r="AI3" s="432"/>
      <c r="AJ3" s="432"/>
      <c r="AK3" s="432"/>
      <c r="AL3" s="432"/>
      <c r="AM3" s="432"/>
      <c r="AN3" s="460"/>
      <c r="AO3" s="460"/>
      <c r="AP3" s="460"/>
      <c r="AQ3" s="460"/>
    </row>
    <row r="4" spans="1:43" ht="15.75" customHeight="1">
      <c r="B4" s="383" t="s">
        <v>2</v>
      </c>
      <c r="C4" s="405"/>
      <c r="D4" s="405"/>
      <c r="E4" s="405"/>
      <c r="F4" s="436"/>
      <c r="G4" s="383" t="s">
        <v>101</v>
      </c>
      <c r="H4" s="478"/>
      <c r="I4" s="478"/>
      <c r="J4" s="478"/>
      <c r="K4" s="481"/>
      <c r="L4" s="393" t="s">
        <v>89</v>
      </c>
      <c r="M4" s="393"/>
      <c r="N4" s="393"/>
      <c r="O4" s="393"/>
      <c r="P4" s="393"/>
      <c r="Q4" s="393"/>
      <c r="R4" s="393"/>
      <c r="S4" s="393"/>
      <c r="T4" s="393"/>
      <c r="U4" s="417"/>
      <c r="V4" s="380" t="s">
        <v>106</v>
      </c>
      <c r="W4" s="390"/>
      <c r="X4" s="390"/>
      <c r="Y4" s="390"/>
      <c r="Z4" s="390"/>
      <c r="AA4" s="390"/>
      <c r="AB4" s="390"/>
      <c r="AC4" s="390"/>
      <c r="AD4" s="407"/>
      <c r="AE4" s="380" t="s">
        <v>107</v>
      </c>
      <c r="AF4" s="390"/>
      <c r="AG4" s="390"/>
      <c r="AH4" s="390"/>
      <c r="AI4" s="390"/>
      <c r="AJ4" s="390"/>
      <c r="AK4" s="390"/>
      <c r="AL4" s="390"/>
      <c r="AM4" s="407"/>
    </row>
    <row r="5" spans="1:43" ht="15.75" customHeight="1">
      <c r="B5" s="402"/>
      <c r="C5" s="406"/>
      <c r="D5" s="406"/>
      <c r="E5" s="406"/>
      <c r="F5" s="438"/>
      <c r="G5" s="476"/>
      <c r="H5" s="479"/>
      <c r="I5" s="479"/>
      <c r="J5" s="479"/>
      <c r="K5" s="482"/>
      <c r="L5" s="394"/>
      <c r="M5" s="394"/>
      <c r="N5" s="394"/>
      <c r="O5" s="394"/>
      <c r="P5" s="394"/>
      <c r="Q5" s="394"/>
      <c r="R5" s="394"/>
      <c r="S5" s="394"/>
      <c r="T5" s="394"/>
      <c r="U5" s="418"/>
      <c r="V5" s="381"/>
      <c r="W5" s="391"/>
      <c r="X5" s="391"/>
      <c r="Y5" s="391"/>
      <c r="Z5" s="391"/>
      <c r="AA5" s="391"/>
      <c r="AB5" s="391"/>
      <c r="AC5" s="391"/>
      <c r="AD5" s="408"/>
      <c r="AE5" s="381"/>
      <c r="AF5" s="391"/>
      <c r="AG5" s="391"/>
      <c r="AH5" s="391"/>
      <c r="AI5" s="391"/>
      <c r="AJ5" s="391"/>
      <c r="AK5" s="391"/>
      <c r="AL5" s="391"/>
      <c r="AM5" s="408"/>
    </row>
    <row r="6" spans="1:43" ht="18.75" customHeight="1">
      <c r="B6" s="442"/>
      <c r="C6" s="367"/>
      <c r="D6" s="367"/>
      <c r="E6" s="362"/>
      <c r="F6" s="473"/>
      <c r="G6" s="383" t="s">
        <v>102</v>
      </c>
      <c r="H6" s="405"/>
      <c r="I6" s="405"/>
      <c r="J6" s="405"/>
      <c r="K6" s="436"/>
      <c r="L6" s="484" t="s">
        <v>104</v>
      </c>
      <c r="M6" s="486"/>
      <c r="N6" s="486"/>
      <c r="O6" s="486"/>
      <c r="P6" s="486"/>
      <c r="Q6" s="486"/>
      <c r="R6" s="486"/>
      <c r="S6" s="486"/>
      <c r="T6" s="486"/>
      <c r="U6" s="506"/>
      <c r="V6" s="508"/>
      <c r="W6" s="513"/>
      <c r="X6" s="513"/>
      <c r="Y6" s="513"/>
      <c r="Z6" s="513"/>
      <c r="AA6" s="513"/>
      <c r="AB6" s="513"/>
      <c r="AC6" s="513"/>
      <c r="AD6" s="525"/>
      <c r="AE6" s="508"/>
      <c r="AF6" s="513"/>
      <c r="AG6" s="513"/>
      <c r="AH6" s="513"/>
      <c r="AI6" s="513"/>
      <c r="AJ6" s="513"/>
      <c r="AK6" s="513"/>
      <c r="AL6" s="513"/>
      <c r="AM6" s="525"/>
    </row>
    <row r="7" spans="1:43" ht="18.75" customHeight="1">
      <c r="B7" s="442"/>
      <c r="C7" s="367"/>
      <c r="D7" s="367"/>
      <c r="E7" s="362"/>
      <c r="F7" s="414"/>
      <c r="G7" s="477" t="s">
        <v>103</v>
      </c>
      <c r="H7" s="480"/>
      <c r="I7" s="480"/>
      <c r="J7" s="480"/>
      <c r="K7" s="483"/>
      <c r="L7" s="485" t="s">
        <v>104</v>
      </c>
      <c r="M7" s="487"/>
      <c r="N7" s="487"/>
      <c r="O7" s="487"/>
      <c r="P7" s="487"/>
      <c r="Q7" s="487"/>
      <c r="R7" s="487"/>
      <c r="S7" s="487"/>
      <c r="T7" s="487"/>
      <c r="U7" s="507"/>
      <c r="V7" s="509"/>
      <c r="W7" s="514"/>
      <c r="X7" s="514"/>
      <c r="Y7" s="514"/>
      <c r="Z7" s="514"/>
      <c r="AA7" s="514"/>
      <c r="AB7" s="514"/>
      <c r="AC7" s="514"/>
      <c r="AD7" s="526"/>
      <c r="AE7" s="509"/>
      <c r="AF7" s="514"/>
      <c r="AG7" s="514"/>
      <c r="AH7" s="514"/>
      <c r="AI7" s="514"/>
      <c r="AJ7" s="514"/>
      <c r="AK7" s="514"/>
      <c r="AL7" s="514"/>
      <c r="AM7" s="526"/>
    </row>
    <row r="8" spans="1:43" ht="18.75" customHeight="1">
      <c r="B8" s="443"/>
      <c r="C8" s="457"/>
      <c r="D8" s="457"/>
      <c r="E8" s="426"/>
      <c r="F8" s="473"/>
      <c r="G8" s="383" t="s">
        <v>102</v>
      </c>
      <c r="H8" s="405"/>
      <c r="I8" s="405"/>
      <c r="J8" s="405"/>
      <c r="K8" s="436"/>
      <c r="L8" s="484" t="s">
        <v>104</v>
      </c>
      <c r="M8" s="486"/>
      <c r="N8" s="486"/>
      <c r="O8" s="486"/>
      <c r="P8" s="486"/>
      <c r="Q8" s="486"/>
      <c r="R8" s="486"/>
      <c r="S8" s="486"/>
      <c r="T8" s="486"/>
      <c r="U8" s="506"/>
      <c r="V8" s="508"/>
      <c r="W8" s="513"/>
      <c r="X8" s="513"/>
      <c r="Y8" s="513"/>
      <c r="Z8" s="513"/>
      <c r="AA8" s="513"/>
      <c r="AB8" s="513"/>
      <c r="AC8" s="513"/>
      <c r="AD8" s="525"/>
      <c r="AE8" s="508"/>
      <c r="AF8" s="513"/>
      <c r="AG8" s="513"/>
      <c r="AH8" s="513"/>
      <c r="AI8" s="513"/>
      <c r="AJ8" s="513"/>
      <c r="AK8" s="513"/>
      <c r="AL8" s="513"/>
      <c r="AM8" s="525"/>
    </row>
    <row r="9" spans="1:43" ht="18.75" customHeight="1">
      <c r="B9" s="444"/>
      <c r="C9" s="458"/>
      <c r="D9" s="458"/>
      <c r="E9" s="404"/>
      <c r="F9" s="414"/>
      <c r="G9" s="477" t="s">
        <v>103</v>
      </c>
      <c r="H9" s="480"/>
      <c r="I9" s="480"/>
      <c r="J9" s="480"/>
      <c r="K9" s="483"/>
      <c r="L9" s="485" t="s">
        <v>104</v>
      </c>
      <c r="M9" s="487"/>
      <c r="N9" s="487"/>
      <c r="O9" s="487"/>
      <c r="P9" s="487"/>
      <c r="Q9" s="487"/>
      <c r="R9" s="487"/>
      <c r="S9" s="487"/>
      <c r="T9" s="487"/>
      <c r="U9" s="507"/>
      <c r="V9" s="509"/>
      <c r="W9" s="514"/>
      <c r="X9" s="514"/>
      <c r="Y9" s="514"/>
      <c r="Z9" s="514"/>
      <c r="AA9" s="514"/>
      <c r="AB9" s="514"/>
      <c r="AC9" s="514"/>
      <c r="AD9" s="526"/>
      <c r="AE9" s="509"/>
      <c r="AF9" s="514"/>
      <c r="AG9" s="514"/>
      <c r="AH9" s="514"/>
      <c r="AI9" s="514"/>
      <c r="AJ9" s="514"/>
      <c r="AK9" s="514"/>
      <c r="AL9" s="514"/>
      <c r="AM9" s="526"/>
    </row>
    <row r="10" spans="1:43" ht="18.75" customHeight="1">
      <c r="B10" s="442"/>
      <c r="C10" s="367"/>
      <c r="D10" s="367"/>
      <c r="E10" s="362"/>
      <c r="F10" s="473"/>
      <c r="G10" s="383" t="s">
        <v>102</v>
      </c>
      <c r="H10" s="405"/>
      <c r="I10" s="405"/>
      <c r="J10" s="405"/>
      <c r="K10" s="436"/>
      <c r="L10" s="484" t="s">
        <v>104</v>
      </c>
      <c r="M10" s="486"/>
      <c r="N10" s="486"/>
      <c r="O10" s="486"/>
      <c r="P10" s="486"/>
      <c r="Q10" s="486"/>
      <c r="R10" s="486"/>
      <c r="S10" s="486"/>
      <c r="T10" s="486"/>
      <c r="U10" s="506"/>
      <c r="V10" s="508"/>
      <c r="W10" s="513"/>
      <c r="X10" s="513"/>
      <c r="Y10" s="513"/>
      <c r="Z10" s="513"/>
      <c r="AA10" s="513"/>
      <c r="AB10" s="513"/>
      <c r="AC10" s="513"/>
      <c r="AD10" s="525"/>
      <c r="AE10" s="508"/>
      <c r="AF10" s="513"/>
      <c r="AG10" s="513"/>
      <c r="AH10" s="513"/>
      <c r="AI10" s="513"/>
      <c r="AJ10" s="513"/>
      <c r="AK10" s="513"/>
      <c r="AL10" s="513"/>
      <c r="AM10" s="525"/>
    </row>
    <row r="11" spans="1:43" ht="18.75" customHeight="1">
      <c r="B11" s="442"/>
      <c r="C11" s="367"/>
      <c r="D11" s="367"/>
      <c r="E11" s="362"/>
      <c r="F11" s="414"/>
      <c r="G11" s="477" t="s">
        <v>103</v>
      </c>
      <c r="H11" s="480"/>
      <c r="I11" s="480"/>
      <c r="J11" s="480"/>
      <c r="K11" s="483"/>
      <c r="L11" s="485" t="s">
        <v>104</v>
      </c>
      <c r="M11" s="487"/>
      <c r="N11" s="487"/>
      <c r="O11" s="487"/>
      <c r="P11" s="487"/>
      <c r="Q11" s="487"/>
      <c r="R11" s="487"/>
      <c r="S11" s="487"/>
      <c r="T11" s="487"/>
      <c r="U11" s="507"/>
      <c r="V11" s="509"/>
      <c r="W11" s="514"/>
      <c r="X11" s="514"/>
      <c r="Y11" s="514"/>
      <c r="Z11" s="514"/>
      <c r="AA11" s="514"/>
      <c r="AB11" s="514"/>
      <c r="AC11" s="514"/>
      <c r="AD11" s="526"/>
      <c r="AE11" s="509"/>
      <c r="AF11" s="514"/>
      <c r="AG11" s="514"/>
      <c r="AH11" s="514"/>
      <c r="AI11" s="514"/>
      <c r="AJ11" s="514"/>
      <c r="AK11" s="514"/>
      <c r="AL11" s="514"/>
      <c r="AM11" s="526"/>
    </row>
    <row r="12" spans="1:43" ht="18.75" customHeight="1">
      <c r="B12" s="443"/>
      <c r="C12" s="457"/>
      <c r="D12" s="457"/>
      <c r="E12" s="426"/>
      <c r="F12" s="473"/>
      <c r="G12" s="383" t="s">
        <v>102</v>
      </c>
      <c r="H12" s="405"/>
      <c r="I12" s="405"/>
      <c r="J12" s="405"/>
      <c r="K12" s="436"/>
      <c r="L12" s="484" t="s">
        <v>104</v>
      </c>
      <c r="M12" s="486"/>
      <c r="N12" s="486"/>
      <c r="O12" s="486"/>
      <c r="P12" s="486"/>
      <c r="Q12" s="486"/>
      <c r="R12" s="486"/>
      <c r="S12" s="486"/>
      <c r="T12" s="486"/>
      <c r="U12" s="506"/>
      <c r="V12" s="508"/>
      <c r="W12" s="513"/>
      <c r="X12" s="513"/>
      <c r="Y12" s="513"/>
      <c r="Z12" s="513"/>
      <c r="AA12" s="513"/>
      <c r="AB12" s="513"/>
      <c r="AC12" s="513"/>
      <c r="AD12" s="525"/>
      <c r="AE12" s="508"/>
      <c r="AF12" s="513"/>
      <c r="AG12" s="513"/>
      <c r="AH12" s="513"/>
      <c r="AI12" s="513"/>
      <c r="AJ12" s="513"/>
      <c r="AK12" s="513"/>
      <c r="AL12" s="513"/>
      <c r="AM12" s="525"/>
    </row>
    <row r="13" spans="1:43" ht="18.75" customHeight="1">
      <c r="B13" s="444"/>
      <c r="C13" s="458"/>
      <c r="D13" s="458"/>
      <c r="E13" s="404"/>
      <c r="F13" s="414"/>
      <c r="G13" s="477" t="s">
        <v>103</v>
      </c>
      <c r="H13" s="480"/>
      <c r="I13" s="480"/>
      <c r="J13" s="480"/>
      <c r="K13" s="483"/>
      <c r="L13" s="485" t="s">
        <v>104</v>
      </c>
      <c r="M13" s="487"/>
      <c r="N13" s="487"/>
      <c r="O13" s="487"/>
      <c r="P13" s="487"/>
      <c r="Q13" s="487"/>
      <c r="R13" s="487"/>
      <c r="S13" s="487"/>
      <c r="T13" s="487"/>
      <c r="U13" s="507"/>
      <c r="V13" s="509"/>
      <c r="W13" s="514"/>
      <c r="X13" s="514"/>
      <c r="Y13" s="514"/>
      <c r="Z13" s="514"/>
      <c r="AA13" s="514"/>
      <c r="AB13" s="514"/>
      <c r="AC13" s="514"/>
      <c r="AD13" s="526"/>
      <c r="AE13" s="509"/>
      <c r="AF13" s="514"/>
      <c r="AG13" s="514"/>
      <c r="AH13" s="514"/>
      <c r="AI13" s="514"/>
      <c r="AJ13" s="514"/>
      <c r="AK13" s="514"/>
      <c r="AL13" s="514"/>
      <c r="AM13" s="526"/>
    </row>
    <row r="14" spans="1:43" ht="18.75" customHeight="1">
      <c r="B14" s="442"/>
      <c r="C14" s="367"/>
      <c r="D14" s="367"/>
      <c r="E14" s="362"/>
      <c r="F14" s="473"/>
      <c r="G14" s="383" t="s">
        <v>102</v>
      </c>
      <c r="H14" s="405"/>
      <c r="I14" s="405"/>
      <c r="J14" s="405"/>
      <c r="K14" s="436"/>
      <c r="L14" s="484" t="s">
        <v>104</v>
      </c>
      <c r="M14" s="486"/>
      <c r="N14" s="486"/>
      <c r="O14" s="486"/>
      <c r="P14" s="486"/>
      <c r="Q14" s="486"/>
      <c r="R14" s="486"/>
      <c r="S14" s="486"/>
      <c r="T14" s="486"/>
      <c r="U14" s="506"/>
      <c r="V14" s="508"/>
      <c r="W14" s="513"/>
      <c r="X14" s="513"/>
      <c r="Y14" s="513"/>
      <c r="Z14" s="513"/>
      <c r="AA14" s="513"/>
      <c r="AB14" s="513"/>
      <c r="AC14" s="513"/>
      <c r="AD14" s="525"/>
      <c r="AE14" s="508"/>
      <c r="AF14" s="513"/>
      <c r="AG14" s="513"/>
      <c r="AH14" s="513"/>
      <c r="AI14" s="513"/>
      <c r="AJ14" s="513"/>
      <c r="AK14" s="513"/>
      <c r="AL14" s="513"/>
      <c r="AM14" s="525"/>
    </row>
    <row r="15" spans="1:43" ht="18.75" customHeight="1">
      <c r="B15" s="442"/>
      <c r="C15" s="367"/>
      <c r="D15" s="367"/>
      <c r="E15" s="362"/>
      <c r="F15" s="414"/>
      <c r="G15" s="477" t="s">
        <v>103</v>
      </c>
      <c r="H15" s="480"/>
      <c r="I15" s="480"/>
      <c r="J15" s="480"/>
      <c r="K15" s="483"/>
      <c r="L15" s="485" t="s">
        <v>104</v>
      </c>
      <c r="M15" s="487"/>
      <c r="N15" s="487"/>
      <c r="O15" s="487"/>
      <c r="P15" s="487"/>
      <c r="Q15" s="487"/>
      <c r="R15" s="487"/>
      <c r="S15" s="487"/>
      <c r="T15" s="487"/>
      <c r="U15" s="507"/>
      <c r="V15" s="509"/>
      <c r="W15" s="514"/>
      <c r="X15" s="514"/>
      <c r="Y15" s="514"/>
      <c r="Z15" s="514"/>
      <c r="AA15" s="514"/>
      <c r="AB15" s="514"/>
      <c r="AC15" s="514"/>
      <c r="AD15" s="526"/>
      <c r="AE15" s="509"/>
      <c r="AF15" s="514"/>
      <c r="AG15" s="514"/>
      <c r="AH15" s="514"/>
      <c r="AI15" s="514"/>
      <c r="AJ15" s="514"/>
      <c r="AK15" s="514"/>
      <c r="AL15" s="514"/>
      <c r="AM15" s="526"/>
    </row>
    <row r="16" spans="1:43" ht="18.75" customHeight="1">
      <c r="B16" s="443"/>
      <c r="C16" s="457"/>
      <c r="D16" s="457"/>
      <c r="E16" s="426"/>
      <c r="F16" s="473"/>
      <c r="G16" s="383" t="s">
        <v>102</v>
      </c>
      <c r="H16" s="405"/>
      <c r="I16" s="405"/>
      <c r="J16" s="405"/>
      <c r="K16" s="436"/>
      <c r="L16" s="484" t="s">
        <v>104</v>
      </c>
      <c r="M16" s="486"/>
      <c r="N16" s="486"/>
      <c r="O16" s="486"/>
      <c r="P16" s="486"/>
      <c r="Q16" s="486"/>
      <c r="R16" s="486"/>
      <c r="S16" s="486"/>
      <c r="T16" s="486"/>
      <c r="U16" s="506"/>
      <c r="V16" s="508"/>
      <c r="W16" s="513"/>
      <c r="X16" s="513"/>
      <c r="Y16" s="513"/>
      <c r="Z16" s="513"/>
      <c r="AA16" s="513"/>
      <c r="AB16" s="513"/>
      <c r="AC16" s="513"/>
      <c r="AD16" s="525"/>
      <c r="AE16" s="508"/>
      <c r="AF16" s="513"/>
      <c r="AG16" s="513"/>
      <c r="AH16" s="513"/>
      <c r="AI16" s="513"/>
      <c r="AJ16" s="513"/>
      <c r="AK16" s="513"/>
      <c r="AL16" s="513"/>
      <c r="AM16" s="525"/>
    </row>
    <row r="17" spans="2:43" ht="18.75" customHeight="1">
      <c r="B17" s="444"/>
      <c r="C17" s="458"/>
      <c r="D17" s="458"/>
      <c r="E17" s="404"/>
      <c r="F17" s="414"/>
      <c r="G17" s="477" t="s">
        <v>103</v>
      </c>
      <c r="H17" s="480"/>
      <c r="I17" s="480"/>
      <c r="J17" s="480"/>
      <c r="K17" s="483"/>
      <c r="L17" s="485" t="s">
        <v>104</v>
      </c>
      <c r="M17" s="487"/>
      <c r="N17" s="487"/>
      <c r="O17" s="487"/>
      <c r="P17" s="487"/>
      <c r="Q17" s="487"/>
      <c r="R17" s="487"/>
      <c r="S17" s="487"/>
      <c r="T17" s="487"/>
      <c r="U17" s="507"/>
      <c r="V17" s="509"/>
      <c r="W17" s="514"/>
      <c r="X17" s="514"/>
      <c r="Y17" s="514"/>
      <c r="Z17" s="514"/>
      <c r="AA17" s="514"/>
      <c r="AB17" s="514"/>
      <c r="AC17" s="514"/>
      <c r="AD17" s="526"/>
      <c r="AE17" s="509"/>
      <c r="AF17" s="514"/>
      <c r="AG17" s="514"/>
      <c r="AH17" s="514"/>
      <c r="AI17" s="514"/>
      <c r="AJ17" s="514"/>
      <c r="AK17" s="514"/>
      <c r="AL17" s="514"/>
      <c r="AM17" s="526"/>
    </row>
    <row r="18" spans="2:43" ht="18.75" customHeight="1">
      <c r="B18" s="442"/>
      <c r="C18" s="367"/>
      <c r="D18" s="367"/>
      <c r="E18" s="362"/>
      <c r="F18" s="473"/>
      <c r="G18" s="383" t="s">
        <v>102</v>
      </c>
      <c r="H18" s="405"/>
      <c r="I18" s="405"/>
      <c r="J18" s="405"/>
      <c r="K18" s="436"/>
      <c r="L18" s="484" t="s">
        <v>104</v>
      </c>
      <c r="M18" s="486"/>
      <c r="N18" s="486"/>
      <c r="O18" s="486"/>
      <c r="P18" s="486"/>
      <c r="Q18" s="486"/>
      <c r="R18" s="486"/>
      <c r="S18" s="486"/>
      <c r="T18" s="486"/>
      <c r="U18" s="506"/>
      <c r="V18" s="508"/>
      <c r="W18" s="513"/>
      <c r="X18" s="513"/>
      <c r="Y18" s="513"/>
      <c r="Z18" s="513"/>
      <c r="AA18" s="513"/>
      <c r="AB18" s="513"/>
      <c r="AC18" s="513"/>
      <c r="AD18" s="525"/>
      <c r="AE18" s="508"/>
      <c r="AF18" s="513"/>
      <c r="AG18" s="513"/>
      <c r="AH18" s="513"/>
      <c r="AI18" s="513"/>
      <c r="AJ18" s="513"/>
      <c r="AK18" s="513"/>
      <c r="AL18" s="513"/>
      <c r="AM18" s="525"/>
    </row>
    <row r="19" spans="2:43" ht="18.75" customHeight="1">
      <c r="B19" s="442"/>
      <c r="C19" s="367"/>
      <c r="D19" s="367"/>
      <c r="E19" s="362"/>
      <c r="F19" s="414"/>
      <c r="G19" s="477" t="s">
        <v>103</v>
      </c>
      <c r="H19" s="480"/>
      <c r="I19" s="480"/>
      <c r="J19" s="480"/>
      <c r="K19" s="483"/>
      <c r="L19" s="485" t="s">
        <v>104</v>
      </c>
      <c r="M19" s="487"/>
      <c r="N19" s="487"/>
      <c r="O19" s="487"/>
      <c r="P19" s="487"/>
      <c r="Q19" s="487"/>
      <c r="R19" s="487"/>
      <c r="S19" s="487"/>
      <c r="T19" s="487"/>
      <c r="U19" s="507"/>
      <c r="V19" s="509"/>
      <c r="W19" s="514"/>
      <c r="X19" s="514"/>
      <c r="Y19" s="514"/>
      <c r="Z19" s="514"/>
      <c r="AA19" s="514"/>
      <c r="AB19" s="514"/>
      <c r="AC19" s="514"/>
      <c r="AD19" s="526"/>
      <c r="AE19" s="509"/>
      <c r="AF19" s="514"/>
      <c r="AG19" s="514"/>
      <c r="AH19" s="514"/>
      <c r="AI19" s="514"/>
      <c r="AJ19" s="514"/>
      <c r="AK19" s="514"/>
      <c r="AL19" s="514"/>
      <c r="AM19" s="526"/>
    </row>
    <row r="20" spans="2:43" ht="18.75" customHeight="1">
      <c r="B20" s="443"/>
      <c r="C20" s="457"/>
      <c r="D20" s="457"/>
      <c r="E20" s="426"/>
      <c r="F20" s="473"/>
      <c r="G20" s="383" t="s">
        <v>102</v>
      </c>
      <c r="H20" s="405"/>
      <c r="I20" s="405"/>
      <c r="J20" s="405"/>
      <c r="K20" s="436"/>
      <c r="L20" s="484" t="s">
        <v>104</v>
      </c>
      <c r="M20" s="486"/>
      <c r="N20" s="486"/>
      <c r="O20" s="486"/>
      <c r="P20" s="486"/>
      <c r="Q20" s="486"/>
      <c r="R20" s="486"/>
      <c r="S20" s="486"/>
      <c r="T20" s="486"/>
      <c r="U20" s="506"/>
      <c r="V20" s="508"/>
      <c r="W20" s="513"/>
      <c r="X20" s="513"/>
      <c r="Y20" s="513"/>
      <c r="Z20" s="513"/>
      <c r="AA20" s="513"/>
      <c r="AB20" s="513"/>
      <c r="AC20" s="513"/>
      <c r="AD20" s="525"/>
      <c r="AE20" s="508"/>
      <c r="AF20" s="513"/>
      <c r="AG20" s="513"/>
      <c r="AH20" s="513"/>
      <c r="AI20" s="513"/>
      <c r="AJ20" s="513"/>
      <c r="AK20" s="513"/>
      <c r="AL20" s="513"/>
      <c r="AM20" s="525"/>
    </row>
    <row r="21" spans="2:43" ht="18.75" customHeight="1">
      <c r="B21" s="444"/>
      <c r="C21" s="458"/>
      <c r="D21" s="458"/>
      <c r="E21" s="404"/>
      <c r="F21" s="414"/>
      <c r="G21" s="477" t="s">
        <v>103</v>
      </c>
      <c r="H21" s="480"/>
      <c r="I21" s="480"/>
      <c r="J21" s="480"/>
      <c r="K21" s="483"/>
      <c r="L21" s="485" t="s">
        <v>104</v>
      </c>
      <c r="M21" s="487"/>
      <c r="N21" s="487"/>
      <c r="O21" s="487"/>
      <c r="P21" s="487"/>
      <c r="Q21" s="487"/>
      <c r="R21" s="487"/>
      <c r="S21" s="487"/>
      <c r="T21" s="487"/>
      <c r="U21" s="507"/>
      <c r="V21" s="509"/>
      <c r="W21" s="514"/>
      <c r="X21" s="514"/>
      <c r="Y21" s="514"/>
      <c r="Z21" s="514"/>
      <c r="AA21" s="514"/>
      <c r="AB21" s="514"/>
      <c r="AC21" s="514"/>
      <c r="AD21" s="526"/>
      <c r="AE21" s="509"/>
      <c r="AF21" s="514"/>
      <c r="AG21" s="514"/>
      <c r="AH21" s="514"/>
      <c r="AI21" s="514"/>
      <c r="AJ21" s="514"/>
      <c r="AK21" s="514"/>
      <c r="AL21" s="514"/>
      <c r="AM21" s="526"/>
    </row>
    <row r="22" spans="2:43" ht="15.75" customHeight="1">
      <c r="B22" s="383" t="s">
        <v>14</v>
      </c>
      <c r="C22" s="405"/>
      <c r="D22" s="405"/>
      <c r="E22" s="405"/>
      <c r="F22" s="405"/>
      <c r="G22" s="405"/>
      <c r="H22" s="405"/>
      <c r="I22" s="405"/>
      <c r="J22" s="405"/>
      <c r="K22" s="405"/>
      <c r="L22" s="405"/>
      <c r="M22" s="405"/>
      <c r="N22" s="405"/>
      <c r="O22" s="405"/>
      <c r="P22" s="405"/>
      <c r="Q22" s="405"/>
      <c r="R22" s="405"/>
      <c r="S22" s="405"/>
      <c r="T22" s="405"/>
      <c r="U22" s="436"/>
      <c r="V22" s="510"/>
      <c r="W22" s="515"/>
      <c r="X22" s="517"/>
      <c r="Y22" s="519"/>
      <c r="Z22" s="519"/>
      <c r="AA22" s="519"/>
      <c r="AB22" s="519"/>
      <c r="AC22" s="519"/>
      <c r="AD22" s="527"/>
      <c r="AE22" s="510" t="s">
        <v>108</v>
      </c>
      <c r="AF22" s="515"/>
      <c r="AG22" s="517"/>
      <c r="AH22" s="519"/>
      <c r="AI22" s="519"/>
      <c r="AJ22" s="519"/>
      <c r="AK22" s="519"/>
      <c r="AL22" s="519"/>
      <c r="AM22" s="527"/>
    </row>
    <row r="23" spans="2:43" ht="15.75" customHeight="1">
      <c r="B23" s="402"/>
      <c r="C23" s="406"/>
      <c r="D23" s="406"/>
      <c r="E23" s="406"/>
      <c r="F23" s="406"/>
      <c r="G23" s="406"/>
      <c r="H23" s="406"/>
      <c r="I23" s="406"/>
      <c r="J23" s="406"/>
      <c r="K23" s="406"/>
      <c r="L23" s="406"/>
      <c r="M23" s="406"/>
      <c r="N23" s="406"/>
      <c r="O23" s="406"/>
      <c r="P23" s="406"/>
      <c r="Q23" s="406"/>
      <c r="R23" s="406"/>
      <c r="S23" s="406"/>
      <c r="T23" s="406"/>
      <c r="U23" s="438"/>
      <c r="V23" s="511"/>
      <c r="W23" s="516"/>
      <c r="X23" s="518"/>
      <c r="Y23" s="518"/>
      <c r="Z23" s="518"/>
      <c r="AA23" s="518"/>
      <c r="AB23" s="518"/>
      <c r="AC23" s="518"/>
      <c r="AD23" s="528"/>
      <c r="AE23" s="511"/>
      <c r="AF23" s="516"/>
      <c r="AG23" s="518"/>
      <c r="AH23" s="518"/>
      <c r="AI23" s="518"/>
      <c r="AJ23" s="518"/>
      <c r="AK23" s="518"/>
      <c r="AL23" s="518"/>
      <c r="AM23" s="528"/>
      <c r="AN23" s="367"/>
      <c r="AO23" s="367"/>
      <c r="AP23" s="367"/>
      <c r="AQ23" s="367"/>
    </row>
    <row r="24" spans="2:43" ht="15" customHeight="1">
      <c r="F24" s="474" t="s">
        <v>100</v>
      </c>
      <c r="G24" s="474"/>
      <c r="H24" s="474"/>
      <c r="I24" s="474"/>
      <c r="J24" s="474"/>
      <c r="K24" s="474"/>
      <c r="L24" s="474"/>
      <c r="M24" s="474"/>
      <c r="N24" s="474"/>
      <c r="O24" s="474"/>
      <c r="P24" s="474"/>
      <c r="Q24" s="474"/>
      <c r="R24" s="474"/>
      <c r="S24" s="474"/>
      <c r="T24" s="474"/>
      <c r="U24" s="474"/>
      <c r="V24" s="512"/>
      <c r="W24" s="512"/>
      <c r="X24" s="512"/>
      <c r="Y24" s="512"/>
      <c r="Z24" s="512"/>
      <c r="AA24" s="512"/>
      <c r="AB24" s="512"/>
      <c r="AC24" s="512"/>
      <c r="AD24" s="512"/>
      <c r="AE24" s="512"/>
      <c r="AF24" s="512"/>
      <c r="AG24" s="512"/>
      <c r="AH24" s="512"/>
      <c r="AI24" s="512"/>
      <c r="AJ24" s="512"/>
      <c r="AK24" s="512"/>
      <c r="AL24" s="512"/>
      <c r="AM24" s="512"/>
      <c r="AN24" s="474"/>
      <c r="AO24" s="474"/>
      <c r="AP24" s="474"/>
      <c r="AQ24" s="474"/>
    </row>
    <row r="25" spans="2:43" ht="15" customHeight="1">
      <c r="B25" s="358" t="s">
        <v>64</v>
      </c>
      <c r="D25" s="358">
        <v>1</v>
      </c>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75"/>
      <c r="AL25" s="475"/>
      <c r="AM25" s="475"/>
      <c r="AN25" s="475"/>
      <c r="AO25" s="475"/>
      <c r="AP25" s="475"/>
      <c r="AQ25" s="475"/>
    </row>
    <row r="26" spans="2:43" ht="15" customHeight="1">
      <c r="C26" s="358" t="s">
        <v>95</v>
      </c>
    </row>
    <row r="27" spans="2:43" ht="15" customHeight="1">
      <c r="B27" s="445" t="s">
        <v>91</v>
      </c>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531"/>
    </row>
    <row r="28" spans="2:43" ht="15" customHeight="1">
      <c r="B28" s="446"/>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532"/>
    </row>
    <row r="29" spans="2:43" ht="15" customHeight="1">
      <c r="B29" s="446"/>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532"/>
    </row>
    <row r="30" spans="2:43" ht="15" customHeight="1">
      <c r="B30" s="447"/>
      <c r="C30" s="46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533"/>
    </row>
    <row r="31" spans="2:43" ht="15" customHeight="1">
      <c r="D31" s="358">
        <v>2</v>
      </c>
      <c r="E31" s="470" t="s">
        <v>97</v>
      </c>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row>
    <row r="32" spans="2:43" ht="15" customHeight="1">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row>
    <row r="33" spans="2:56" ht="15" customHeight="1">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row>
    <row r="34" spans="2:56" ht="15" customHeight="1">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row>
    <row r="35" spans="2:56" ht="15" customHeight="1">
      <c r="D35" s="358">
        <v>3</v>
      </c>
      <c r="E35" s="470" t="s">
        <v>99</v>
      </c>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row>
    <row r="36" spans="2:56" ht="15" customHeight="1">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row>
    <row r="37" spans="2:56" ht="15" customHeight="1">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row>
    <row r="38" spans="2:56" ht="15" customHeight="1">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row>
    <row r="39" spans="2:56" ht="15" customHeight="1">
      <c r="D39" s="358">
        <v>4</v>
      </c>
      <c r="E39" s="471" t="s">
        <v>5</v>
      </c>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row>
    <row r="40" spans="2:56" ht="15" customHeight="1">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row>
    <row r="41" spans="2:56" ht="15" customHeight="1">
      <c r="B41" s="448" t="s">
        <v>92</v>
      </c>
      <c r="P41" s="451"/>
      <c r="Q41" s="460"/>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row>
    <row r="42" spans="2:56" ht="15" customHeight="1">
      <c r="B42" s="449" t="s">
        <v>34</v>
      </c>
      <c r="C42" s="462"/>
      <c r="D42" s="468"/>
      <c r="E42" s="472"/>
      <c r="F42" s="472"/>
      <c r="G42" s="472"/>
      <c r="H42" s="472"/>
      <c r="I42" s="472"/>
      <c r="J42" s="472"/>
      <c r="K42" s="472"/>
      <c r="L42" s="462" t="s">
        <v>48</v>
      </c>
      <c r="M42" s="488"/>
      <c r="N42" s="494"/>
      <c r="O42" s="497"/>
      <c r="P42" s="497"/>
      <c r="Q42" s="497"/>
      <c r="R42" s="504"/>
      <c r="S42" s="505"/>
      <c r="T42" s="505"/>
      <c r="U42" s="505"/>
      <c r="V42" s="505"/>
      <c r="W42" s="505"/>
      <c r="X42" s="497"/>
      <c r="Y42" s="497"/>
      <c r="Z42" s="497"/>
      <c r="AA42" s="497"/>
      <c r="AB42" s="451"/>
      <c r="AC42" s="460"/>
      <c r="AD42" s="460"/>
      <c r="AE42" s="460"/>
      <c r="AF42" s="460"/>
      <c r="AG42" s="460"/>
      <c r="AH42" s="460"/>
      <c r="AI42" s="460"/>
      <c r="AJ42" s="460"/>
      <c r="AK42" s="460"/>
      <c r="AL42" s="460"/>
      <c r="AM42" s="460"/>
      <c r="AN42" s="460"/>
      <c r="AO42" s="497"/>
      <c r="AP42" s="534"/>
      <c r="AQ42" s="534"/>
    </row>
    <row r="43" spans="2:56" ht="15" customHeight="1">
      <c r="B43" s="450"/>
      <c r="C43" s="463"/>
      <c r="D43" s="469"/>
      <c r="E43" s="469"/>
      <c r="F43" s="469"/>
      <c r="G43" s="469"/>
      <c r="H43" s="469"/>
      <c r="I43" s="469"/>
      <c r="J43" s="469"/>
      <c r="K43" s="469"/>
      <c r="L43" s="463"/>
      <c r="M43" s="489"/>
      <c r="N43" s="494"/>
      <c r="O43" s="497"/>
      <c r="P43" s="497"/>
      <c r="Q43" s="497"/>
      <c r="R43" s="505"/>
      <c r="S43" s="505"/>
      <c r="T43" s="505"/>
      <c r="U43" s="505"/>
      <c r="V43" s="505"/>
      <c r="W43" s="505"/>
      <c r="X43" s="497"/>
      <c r="Y43" s="497"/>
      <c r="Z43" s="497"/>
      <c r="AA43" s="497"/>
      <c r="AB43" s="504"/>
      <c r="AC43" s="504"/>
      <c r="AD43" s="497"/>
      <c r="AE43" s="497"/>
      <c r="AF43" s="505"/>
      <c r="AG43" s="505"/>
      <c r="AH43" s="505"/>
      <c r="AI43" s="505"/>
      <c r="AJ43" s="505"/>
      <c r="AK43" s="505"/>
      <c r="AL43" s="505"/>
      <c r="AM43" s="505"/>
      <c r="AN43" s="497"/>
      <c r="AO43" s="497"/>
      <c r="AP43" s="534"/>
      <c r="AQ43" s="534"/>
    </row>
    <row r="44" spans="2:56" ht="15" customHeight="1">
      <c r="C44" s="464" t="s">
        <v>96</v>
      </c>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row>
    <row r="45" spans="2:56" ht="15" customHeight="1">
      <c r="C45" s="465"/>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64"/>
      <c r="AD45" s="464"/>
      <c r="AE45" s="464"/>
      <c r="AF45" s="464"/>
      <c r="AG45" s="464"/>
      <c r="AH45" s="464"/>
      <c r="AI45" s="464"/>
      <c r="AJ45" s="464"/>
      <c r="AK45" s="464"/>
      <c r="AL45" s="464"/>
      <c r="AM45" s="464"/>
      <c r="AN45" s="366"/>
      <c r="AO45" s="366"/>
      <c r="AP45" s="366"/>
      <c r="AQ45" s="366"/>
    </row>
    <row r="46" spans="2:56" ht="15" customHeight="1">
      <c r="B46" s="451" t="s">
        <v>62</v>
      </c>
      <c r="C46" s="460"/>
      <c r="D46" s="460"/>
      <c r="E46" s="460"/>
      <c r="F46" s="460"/>
      <c r="G46" s="460"/>
      <c r="H46" s="460"/>
      <c r="I46" s="460"/>
      <c r="J46" s="460"/>
      <c r="K46" s="460"/>
      <c r="L46" s="460"/>
      <c r="M46" s="460"/>
      <c r="N46" s="451"/>
      <c r="O46" s="460"/>
      <c r="P46" s="451" t="s">
        <v>58</v>
      </c>
      <c r="Q46" s="460"/>
      <c r="R46" s="460"/>
      <c r="S46" s="460"/>
      <c r="T46" s="460"/>
      <c r="U46" s="460"/>
      <c r="V46" s="460"/>
      <c r="W46" s="460"/>
      <c r="X46" s="460"/>
      <c r="Y46" s="460"/>
      <c r="Z46" s="460"/>
      <c r="AG46" s="530"/>
      <c r="AH46" s="530"/>
      <c r="AI46" s="530"/>
      <c r="AJ46" s="530"/>
      <c r="AK46" s="530"/>
      <c r="AL46" s="530"/>
      <c r="AM46" s="530"/>
      <c r="AN46" s="530"/>
      <c r="AO46" s="530"/>
      <c r="AP46" s="530"/>
      <c r="AQ46" s="530"/>
      <c r="AR46" s="535"/>
      <c r="AS46" s="536"/>
      <c r="AT46" s="536"/>
      <c r="AU46" s="536"/>
      <c r="AV46" s="536"/>
      <c r="AW46" s="536"/>
      <c r="AX46" s="536"/>
      <c r="AY46" s="536"/>
      <c r="AZ46" s="536"/>
      <c r="BA46" s="536"/>
      <c r="BB46" s="536"/>
      <c r="BC46" s="536"/>
      <c r="BD46" s="536"/>
    </row>
    <row r="47" spans="2:56" ht="15" customHeight="1">
      <c r="B47" s="452" t="s">
        <v>94</v>
      </c>
      <c r="C47" s="466"/>
      <c r="D47" s="466"/>
      <c r="E47" s="466"/>
      <c r="F47" s="466"/>
      <c r="G47" s="466"/>
      <c r="H47" s="466"/>
      <c r="I47" s="466"/>
      <c r="J47" s="466"/>
      <c r="K47" s="466"/>
      <c r="L47" s="466"/>
      <c r="M47" s="490"/>
      <c r="N47" s="495" t="s">
        <v>105</v>
      </c>
      <c r="O47" s="498"/>
      <c r="P47" s="452" t="s">
        <v>65</v>
      </c>
      <c r="Q47" s="502"/>
      <c r="R47" s="502"/>
      <c r="S47" s="502"/>
      <c r="T47" s="502"/>
      <c r="U47" s="502"/>
      <c r="V47" s="502"/>
      <c r="W47" s="502"/>
      <c r="X47" s="502"/>
      <c r="Y47" s="502"/>
      <c r="Z47" s="502"/>
      <c r="AA47" s="520"/>
      <c r="AB47" s="524"/>
      <c r="AC47" s="524"/>
      <c r="AD47" s="524"/>
      <c r="AE47" s="524"/>
      <c r="AF47" s="529"/>
      <c r="AG47" s="524"/>
      <c r="AH47" s="367"/>
      <c r="AI47" s="367"/>
      <c r="AJ47" s="367"/>
    </row>
    <row r="48" spans="2:56" ht="15" customHeight="1">
      <c r="B48" s="453"/>
      <c r="C48" s="405"/>
      <c r="D48" s="405"/>
      <c r="E48" s="405"/>
      <c r="F48" s="405"/>
      <c r="G48" s="405"/>
      <c r="H48" s="405"/>
      <c r="I48" s="405"/>
      <c r="J48" s="405"/>
      <c r="K48" s="405"/>
      <c r="L48" s="405"/>
      <c r="M48" s="491"/>
      <c r="N48" s="496"/>
      <c r="O48" s="498"/>
      <c r="P48" s="499"/>
      <c r="Q48" s="459"/>
      <c r="R48" s="459"/>
      <c r="S48" s="459"/>
      <c r="T48" s="459"/>
      <c r="U48" s="459"/>
      <c r="V48" s="459"/>
      <c r="W48" s="459"/>
      <c r="X48" s="459"/>
      <c r="Y48" s="459"/>
      <c r="Z48" s="459"/>
      <c r="AA48" s="521"/>
      <c r="AB48" s="505"/>
      <c r="AC48" s="505"/>
      <c r="AD48" s="505"/>
      <c r="AE48" s="505"/>
      <c r="AF48" s="524"/>
      <c r="AG48" s="524"/>
      <c r="AH48" s="367"/>
      <c r="AI48" s="367"/>
      <c r="AJ48" s="367"/>
    </row>
    <row r="49" spans="2:43" ht="15" customHeight="1">
      <c r="B49" s="454"/>
      <c r="C49" s="370"/>
      <c r="D49" s="370"/>
      <c r="E49" s="370"/>
      <c r="F49" s="370"/>
      <c r="G49" s="370"/>
      <c r="H49" s="370"/>
      <c r="I49" s="370"/>
      <c r="J49" s="370"/>
      <c r="K49" s="370"/>
      <c r="L49" s="370"/>
      <c r="M49" s="492"/>
      <c r="N49" s="496"/>
      <c r="O49" s="498"/>
      <c r="P49" s="500"/>
      <c r="Q49" s="460"/>
      <c r="R49" s="460"/>
      <c r="S49" s="460"/>
      <c r="T49" s="460"/>
      <c r="U49" s="460"/>
      <c r="V49" s="460"/>
      <c r="W49" s="460"/>
      <c r="X49" s="460"/>
      <c r="Y49" s="460"/>
      <c r="Z49" s="460"/>
      <c r="AA49" s="522"/>
      <c r="AB49" s="505"/>
      <c r="AC49" s="505"/>
      <c r="AD49" s="505"/>
      <c r="AE49" s="505"/>
      <c r="AF49" s="524"/>
      <c r="AG49" s="524"/>
      <c r="AH49" s="367"/>
      <c r="AI49" s="367"/>
      <c r="AJ49" s="367"/>
    </row>
    <row r="50" spans="2:43" ht="15" customHeight="1">
      <c r="B50" s="455"/>
      <c r="C50" s="467"/>
      <c r="D50" s="467"/>
      <c r="E50" s="467"/>
      <c r="F50" s="467"/>
      <c r="G50" s="467"/>
      <c r="H50" s="467"/>
      <c r="I50" s="467"/>
      <c r="J50" s="467"/>
      <c r="K50" s="467"/>
      <c r="L50" s="467"/>
      <c r="M50" s="493"/>
      <c r="N50" s="496"/>
      <c r="O50" s="498"/>
      <c r="P50" s="501"/>
      <c r="Q50" s="503"/>
      <c r="R50" s="503"/>
      <c r="S50" s="503"/>
      <c r="T50" s="503"/>
      <c r="U50" s="503"/>
      <c r="V50" s="503"/>
      <c r="W50" s="503"/>
      <c r="X50" s="503"/>
      <c r="Y50" s="503"/>
      <c r="Z50" s="503"/>
      <c r="AA50" s="523"/>
      <c r="AB50" s="505"/>
      <c r="AC50" s="505"/>
      <c r="AD50" s="505"/>
      <c r="AE50" s="505"/>
      <c r="AF50" s="524"/>
      <c r="AG50" s="524"/>
      <c r="AH50" s="367"/>
      <c r="AI50" s="367"/>
      <c r="AJ50" s="367"/>
    </row>
    <row r="51" spans="2:43" ht="7.5" customHeight="1">
      <c r="B51" s="456" t="s">
        <v>7</v>
      </c>
      <c r="C51" s="456"/>
      <c r="D51" s="456"/>
      <c r="E51" s="456"/>
      <c r="F51" s="456"/>
      <c r="G51" s="456"/>
      <c r="H51" s="456"/>
      <c r="I51" s="456"/>
      <c r="J51" s="456"/>
      <c r="K51" s="456"/>
      <c r="L51" s="456"/>
      <c r="M51" s="456"/>
      <c r="N51" s="456"/>
      <c r="O51" s="456"/>
      <c r="P51" s="456"/>
      <c r="Q51" s="456"/>
      <c r="R51" s="456"/>
      <c r="S51" s="456"/>
      <c r="T51" s="456"/>
      <c r="U51" s="456"/>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row>
    <row r="52" spans="2:43" ht="7.5" customHeight="1">
      <c r="B52" s="456"/>
      <c r="C52" s="456"/>
      <c r="D52" s="456"/>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row>
  </sheetData>
  <mergeCells count="94">
    <mergeCell ref="A1:AQ1"/>
    <mergeCell ref="B3:Z3"/>
    <mergeCell ref="AF3:AM3"/>
    <mergeCell ref="G6:K6"/>
    <mergeCell ref="L6:U6"/>
    <mergeCell ref="V6:AD6"/>
    <mergeCell ref="AE6:AM6"/>
    <mergeCell ref="G7:K7"/>
    <mergeCell ref="L7:U7"/>
    <mergeCell ref="V7:AD7"/>
    <mergeCell ref="AE7:AM7"/>
    <mergeCell ref="G8:K8"/>
    <mergeCell ref="L8:U8"/>
    <mergeCell ref="V8:AD8"/>
    <mergeCell ref="AE8:AM8"/>
    <mergeCell ref="G9:K9"/>
    <mergeCell ref="L9:U9"/>
    <mergeCell ref="V9:AD9"/>
    <mergeCell ref="AE9:AM9"/>
    <mergeCell ref="G10:K10"/>
    <mergeCell ref="L10:U10"/>
    <mergeCell ref="V10:AD10"/>
    <mergeCell ref="AE10:AM10"/>
    <mergeCell ref="G11:K11"/>
    <mergeCell ref="L11:U11"/>
    <mergeCell ref="V11:AD11"/>
    <mergeCell ref="AE11:AM11"/>
    <mergeCell ref="G12:K12"/>
    <mergeCell ref="L12:U12"/>
    <mergeCell ref="V12:AD12"/>
    <mergeCell ref="AE12:AM12"/>
    <mergeCell ref="G13:K13"/>
    <mergeCell ref="L13:U13"/>
    <mergeCell ref="V13:AD13"/>
    <mergeCell ref="AE13:AM13"/>
    <mergeCell ref="G14:K14"/>
    <mergeCell ref="L14:U14"/>
    <mergeCell ref="V14:AD14"/>
    <mergeCell ref="AE14:AM14"/>
    <mergeCell ref="G15:K15"/>
    <mergeCell ref="L15:U15"/>
    <mergeCell ref="V15:AD15"/>
    <mergeCell ref="AE15:AM15"/>
    <mergeCell ref="G16:K16"/>
    <mergeCell ref="L16:U16"/>
    <mergeCell ref="V16:AD16"/>
    <mergeCell ref="AE16:AM16"/>
    <mergeCell ref="G17:K17"/>
    <mergeCell ref="L17:U17"/>
    <mergeCell ref="V17:AD17"/>
    <mergeCell ref="AE17:AM17"/>
    <mergeCell ref="G18:K18"/>
    <mergeCell ref="L18:U18"/>
    <mergeCell ref="V18:AD18"/>
    <mergeCell ref="AE18:AM18"/>
    <mergeCell ref="G19:K19"/>
    <mergeCell ref="L19:U19"/>
    <mergeCell ref="V19:AD19"/>
    <mergeCell ref="AE19:AM19"/>
    <mergeCell ref="G20:K20"/>
    <mergeCell ref="L20:U20"/>
    <mergeCell ref="V20:AD20"/>
    <mergeCell ref="AE20:AM20"/>
    <mergeCell ref="G21:K21"/>
    <mergeCell ref="L21:U21"/>
    <mergeCell ref="V21:AD21"/>
    <mergeCell ref="AE21:AM21"/>
    <mergeCell ref="C44:AM44"/>
    <mergeCell ref="C45:AQ45"/>
    <mergeCell ref="AR46:BD46"/>
    <mergeCell ref="B47:M47"/>
    <mergeCell ref="P47:AA47"/>
    <mergeCell ref="B4:F5"/>
    <mergeCell ref="G4:K5"/>
    <mergeCell ref="L4:U5"/>
    <mergeCell ref="V4:AD5"/>
    <mergeCell ref="AE4:AM5"/>
    <mergeCell ref="B22:U23"/>
    <mergeCell ref="V22:W23"/>
    <mergeCell ref="X22:AD23"/>
    <mergeCell ref="AE22:AF23"/>
    <mergeCell ref="AG22:AM23"/>
    <mergeCell ref="F24:AQ25"/>
    <mergeCell ref="B27:AP30"/>
    <mergeCell ref="E31:AQ34"/>
    <mergeCell ref="E35:AQ38"/>
    <mergeCell ref="E39:AQ40"/>
    <mergeCell ref="B42:C43"/>
    <mergeCell ref="D42:K43"/>
    <mergeCell ref="L42:M43"/>
    <mergeCell ref="N47:O50"/>
    <mergeCell ref="B48:M50"/>
    <mergeCell ref="P48:AA50"/>
    <mergeCell ref="B51:AQ52"/>
  </mergeCells>
  <phoneticPr fontId="2"/>
  <pageMargins left="0.59055118110236227" right="0.59055118110236227" top="0.59055118110236227" bottom="0.39370078740157483" header="0.51181102362204722" footer="0.51181102362204722"/>
  <pageSetup paperSize="9" scale="97"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2:IV379"/>
  <sheetViews>
    <sheetView zoomScale="75" zoomScaleNormal="75" workbookViewId="0">
      <pane ySplit="14" topLeftCell="A15" activePane="bottomLeft" state="frozen"/>
      <selection pane="bottomLeft" activeCell="D6" sqref="D6"/>
    </sheetView>
  </sheetViews>
  <sheetFormatPr defaultRowHeight="13.5"/>
  <cols>
    <col min="1" max="1" width="8.6328125" style="537" customWidth="1"/>
    <col min="2" max="2" width="9" style="537" hidden="1" customWidth="1"/>
    <col min="3" max="3" width="20.6328125" style="538" customWidth="1"/>
    <col min="4" max="4" width="12.6328125" style="537" customWidth="1"/>
    <col min="5" max="7" width="11.6328125" style="537" customWidth="1"/>
    <col min="8" max="8" width="10.6328125" style="537" customWidth="1"/>
    <col min="9" max="12" width="11.6328125" style="537" customWidth="1"/>
    <col min="13" max="256" width="9" style="537" customWidth="1"/>
  </cols>
  <sheetData>
    <row r="1" spans="2:12" ht="13.5" customHeight="1"/>
    <row r="2" spans="2:12" ht="19.5">
      <c r="C2" s="541" t="s">
        <v>109</v>
      </c>
      <c r="D2" s="554"/>
      <c r="E2" s="569"/>
    </row>
    <row r="3" spans="2:12" ht="13.5" customHeight="1">
      <c r="C3" s="542"/>
      <c r="D3" s="542"/>
      <c r="E3" s="542"/>
    </row>
    <row r="4" spans="2:12">
      <c r="C4" s="543" t="s">
        <v>41</v>
      </c>
    </row>
    <row r="5" spans="2:12" ht="14.25">
      <c r="C5" s="545" t="s">
        <v>110</v>
      </c>
      <c r="D5" s="538"/>
    </row>
    <row r="6" spans="2:12" ht="14.25">
      <c r="B6" s="539"/>
      <c r="C6" s="544" t="s">
        <v>111</v>
      </c>
      <c r="D6" s="555"/>
      <c r="F6" s="577"/>
    </row>
    <row r="7" spans="2:12" ht="14.25">
      <c r="B7" s="539"/>
      <c r="C7" s="546" t="s">
        <v>112</v>
      </c>
      <c r="D7" s="555"/>
      <c r="F7" s="577" t="s">
        <v>129</v>
      </c>
    </row>
    <row r="8" spans="2:12" ht="14.25">
      <c r="B8" s="539"/>
      <c r="C8" s="546" t="s">
        <v>113</v>
      </c>
      <c r="D8" s="556">
        <f>D6-D7</f>
        <v>0</v>
      </c>
      <c r="F8" s="577"/>
      <c r="G8" s="583" t="s">
        <v>132</v>
      </c>
      <c r="H8" s="595"/>
      <c r="I8" s="589" t="s">
        <v>139</v>
      </c>
    </row>
    <row r="9" spans="2:12" ht="14.25">
      <c r="B9" s="539"/>
      <c r="C9" s="546" t="s">
        <v>114</v>
      </c>
      <c r="D9" s="557"/>
      <c r="F9" s="577"/>
      <c r="G9" s="584" t="s">
        <v>133</v>
      </c>
      <c r="H9" s="596">
        <v>1</v>
      </c>
      <c r="I9" s="600">
        <v>9.2999999999999992e-003</v>
      </c>
    </row>
    <row r="10" spans="2:12" ht="14.25">
      <c r="B10" s="539"/>
      <c r="C10" s="546" t="s">
        <v>116</v>
      </c>
      <c r="D10" s="558"/>
      <c r="F10" s="577"/>
      <c r="G10" s="585" t="s">
        <v>134</v>
      </c>
      <c r="H10" s="597">
        <v>2</v>
      </c>
      <c r="I10" s="601">
        <v>1.e-002</v>
      </c>
    </row>
    <row r="11" spans="2:12" ht="14.25">
      <c r="B11" s="539"/>
      <c r="C11" s="546" t="s">
        <v>39</v>
      </c>
      <c r="D11" s="559" t="str">
        <f>IF(D10="","",IF(D10=1,I9,IF(D10=2,I10,I11)))</f>
        <v/>
      </c>
      <c r="E11" s="570"/>
      <c r="G11" s="586" t="s">
        <v>131</v>
      </c>
      <c r="H11" s="598">
        <v>3</v>
      </c>
      <c r="I11" s="602">
        <v>1.26e-002</v>
      </c>
    </row>
    <row r="12" spans="2:12" ht="14.25">
      <c r="B12" s="539"/>
      <c r="C12" s="546" t="s">
        <v>117</v>
      </c>
      <c r="D12" s="559" t="str">
        <f>IF(D10="","",ROUND(D11/2,6))</f>
        <v/>
      </c>
      <c r="E12" s="570"/>
    </row>
    <row r="13" spans="2:12" ht="14.25">
      <c r="B13" s="539"/>
      <c r="C13" s="546" t="s">
        <v>118</v>
      </c>
      <c r="D13" s="559" t="str">
        <f>IF(D10="","",ROUND(D11/12,6))</f>
        <v/>
      </c>
      <c r="E13" s="571"/>
      <c r="G13" s="587" t="s">
        <v>136</v>
      </c>
    </row>
    <row r="14" spans="2:12" ht="14.25">
      <c r="B14" s="539"/>
      <c r="C14" s="547" t="s">
        <v>120</v>
      </c>
      <c r="D14" s="560"/>
      <c r="E14" s="561"/>
      <c r="F14" s="578"/>
      <c r="G14" s="588" t="str">
        <f>IF(D14="","",F379+K379)</f>
        <v/>
      </c>
      <c r="K14" s="578"/>
    </row>
    <row r="15" spans="2:12">
      <c r="B15" s="538"/>
      <c r="C15" s="545"/>
      <c r="D15" s="561"/>
      <c r="E15" s="561"/>
      <c r="F15" s="578"/>
      <c r="K15" s="578"/>
    </row>
    <row r="16" spans="2:12" ht="14.25">
      <c r="C16" s="538" t="s">
        <v>121</v>
      </c>
      <c r="D16" s="561"/>
      <c r="E16" s="561"/>
      <c r="F16" s="578"/>
      <c r="K16" s="578"/>
      <c r="L16" s="537" t="s">
        <v>85</v>
      </c>
    </row>
    <row r="17" spans="2:12" ht="14.25">
      <c r="C17" s="548" t="s">
        <v>122</v>
      </c>
      <c r="D17" s="562"/>
      <c r="E17" s="562"/>
      <c r="F17" s="562"/>
      <c r="G17" s="589"/>
      <c r="H17" s="583" t="s">
        <v>138</v>
      </c>
      <c r="I17" s="562"/>
      <c r="J17" s="562"/>
      <c r="K17" s="562"/>
      <c r="L17" s="589"/>
    </row>
    <row r="18" spans="2:12" ht="14.25">
      <c r="C18" s="549" t="s">
        <v>115</v>
      </c>
      <c r="D18" s="563" t="s">
        <v>125</v>
      </c>
      <c r="E18" s="572" t="s">
        <v>128</v>
      </c>
      <c r="F18" s="562" t="s">
        <v>130</v>
      </c>
      <c r="G18" s="589" t="s">
        <v>137</v>
      </c>
      <c r="H18" s="549" t="s">
        <v>115</v>
      </c>
      <c r="I18" s="563" t="s">
        <v>125</v>
      </c>
      <c r="J18" s="572" t="s">
        <v>128</v>
      </c>
      <c r="K18" s="562" t="s">
        <v>130</v>
      </c>
      <c r="L18" s="589" t="s">
        <v>137</v>
      </c>
    </row>
    <row r="19" spans="2:12">
      <c r="B19" s="540">
        <v>1</v>
      </c>
      <c r="C19" s="550" t="str">
        <f t="shared" ref="C19:C82" si="0">IF($D$14&gt;=B19,B19,"")</f>
        <v/>
      </c>
      <c r="D19" s="564" t="str">
        <f>IF(C19="","",ROUNDDOWN($D$8/$D$14,0))</f>
        <v/>
      </c>
      <c r="E19" s="573" t="str">
        <f>IF(C19="","",ROUNDDOWN(D8*$D$13,0))</f>
        <v/>
      </c>
      <c r="F19" s="579" t="str">
        <f t="shared" ref="F19:F82" si="1">IF(C19="","",D19+E19)</f>
        <v/>
      </c>
      <c r="G19" s="590" t="str">
        <f>IF(C19="","",D8-D19)</f>
        <v/>
      </c>
      <c r="H19" s="550" t="str">
        <f>IF(C19="","",IF(OR($D$9=5,$D$9=11),IF(AND(D$7&gt;0,ROUNDDOWN($D$14/6,0)&gt;=1),1,""),""))</f>
        <v/>
      </c>
      <c r="I19" s="565" t="str">
        <f>IF(H19="","",IF(H19&gt;0,IF(H25="",D7,ROUNDDOWN($D$7/COUNT(H$19:H$378),0)),""))</f>
        <v/>
      </c>
      <c r="J19" s="573" t="str">
        <f>IF(H19="","",ROUNDDOWN(IF(OR($D$9=6,$D$9=12),D7*$D$12,D7*$D$13*IF(OR($D$9=5,$D$9=11),1,IF(OR($D$9=4,$D$9=10),2,IF(OR($D$9=3,$D$9=9),3,IF(OR($D$9=2,$D$9=8),4,5))))),0))</f>
        <v/>
      </c>
      <c r="K19" s="579" t="str">
        <f t="shared" ref="K19:K82" si="2">IF(H19="","",I19+J19)</f>
        <v/>
      </c>
      <c r="L19" s="590" t="str">
        <f>IF(AND(D$7&gt;0,COUNT(H19:H24)&gt;0),D$7-IF(I19="",0,I19),"")</f>
        <v/>
      </c>
    </row>
    <row r="20" spans="2:12">
      <c r="B20" s="540">
        <v>2</v>
      </c>
      <c r="C20" s="551" t="str">
        <f t="shared" si="0"/>
        <v/>
      </c>
      <c r="D20" s="565" t="str">
        <f t="shared" ref="D20:D83" si="3">IF(C20="","",IF(C20=$D$14,G19,ROUNDDOWN($D$8/$D$14,0)))</f>
        <v/>
      </c>
      <c r="E20" s="574" t="str">
        <f t="shared" ref="E20:E83" si="4">IF(C20="","",ROUNDDOWN(G19*$D$13,0))</f>
        <v/>
      </c>
      <c r="F20" s="580" t="str">
        <f t="shared" si="1"/>
        <v/>
      </c>
      <c r="G20" s="591" t="str">
        <f t="shared" ref="G20:G83" si="5">IF(C20="","",G19-D20)</f>
        <v/>
      </c>
      <c r="H20" s="551" t="str">
        <f>IF(C20="","",IF(OR($D$9=4,$D$9=10),IF(AND(D$7&gt;0,ROUNDDOWN($D$14/6,0)&gt;=1),1,""),""))</f>
        <v/>
      </c>
      <c r="I20" s="565" t="str">
        <f t="shared" ref="I20:I83" si="6">IF(H20="","",IF(H20&gt;0,IF(H26="",L19,ROUNDDOWN($D$7/COUNT(H$19:H$378),0)),""))</f>
        <v/>
      </c>
      <c r="J20" s="574" t="str">
        <f>IF(H20="","",ROUNDDOWN(IF(OR($D$9=6,$D$9=12),L19*$D$12,L19*$D$13*IF(OR($D$9=5,$D$9=11),1,IF(OR($D$9=4,$D$9=10),2,IF(OR($D$9=3,$D$9=9),3,IF(OR($D$9=2,$D$9=8),4,5))))),0))</f>
        <v/>
      </c>
      <c r="K20" s="580" t="str">
        <f t="shared" si="2"/>
        <v/>
      </c>
      <c r="L20" s="591" t="str">
        <f>IF(OR(L19=0,L19=""),"",IF(AND(H20="",C20=""),"",IF(COUNT(H19:H24)&gt;0,L19-IF(I20="",0,I20),"")))</f>
        <v/>
      </c>
    </row>
    <row r="21" spans="2:12">
      <c r="B21" s="540">
        <v>3</v>
      </c>
      <c r="C21" s="551" t="str">
        <f t="shared" si="0"/>
        <v/>
      </c>
      <c r="D21" s="565" t="str">
        <f t="shared" si="3"/>
        <v/>
      </c>
      <c r="E21" s="574" t="str">
        <f t="shared" si="4"/>
        <v/>
      </c>
      <c r="F21" s="580" t="str">
        <f t="shared" si="1"/>
        <v/>
      </c>
      <c r="G21" s="591" t="str">
        <f t="shared" si="5"/>
        <v/>
      </c>
      <c r="H21" s="551" t="str">
        <f>IF(C21="","",IF(OR($D$9=3,$D$9=9),IF(AND(D$7&gt;0,ROUNDDOWN($D$14/6,0)&gt;=1),1,""),""))</f>
        <v/>
      </c>
      <c r="I21" s="565" t="str">
        <f t="shared" si="6"/>
        <v/>
      </c>
      <c r="J21" s="574" t="str">
        <f>IF(H21="","",ROUNDDOWN(IF(OR($D$9=6,$D$9=12),L20*$D$12,L20*$D$13*IF(OR($D$9=5,$D$9=11),1,IF(OR($D$9=4,$D$9=10),2,IF(OR($D$9=3,$D$9=9),3,IF(OR($D$9=2,$D$9=8),4,5))))),0))</f>
        <v/>
      </c>
      <c r="K21" s="580" t="str">
        <f t="shared" si="2"/>
        <v/>
      </c>
      <c r="L21" s="591" t="str">
        <f>IF(OR(L20=0,L20=""),"",IF(AND(H21="",C21=""),"",IF(COUNT(H19:H24)&gt;0,L20-IF(I21="",0,I21),"")))</f>
        <v/>
      </c>
    </row>
    <row r="22" spans="2:12">
      <c r="B22" s="540">
        <v>4</v>
      </c>
      <c r="C22" s="551" t="str">
        <f t="shared" si="0"/>
        <v/>
      </c>
      <c r="D22" s="565" t="str">
        <f t="shared" si="3"/>
        <v/>
      </c>
      <c r="E22" s="574" t="str">
        <f t="shared" si="4"/>
        <v/>
      </c>
      <c r="F22" s="580" t="str">
        <f t="shared" si="1"/>
        <v/>
      </c>
      <c r="G22" s="591" t="str">
        <f t="shared" si="5"/>
        <v/>
      </c>
      <c r="H22" s="551" t="str">
        <f>IF(C22="","",IF(OR($D$9=2,$D$9=8),IF(AND(D$7&gt;0,ROUNDDOWN($D$14/6,0)&gt;=1),1,""),""))</f>
        <v/>
      </c>
      <c r="I22" s="565" t="str">
        <f t="shared" si="6"/>
        <v/>
      </c>
      <c r="J22" s="574" t="str">
        <f>IF(H22="","",ROUNDDOWN(IF(OR($D$9=6,$D$9=12),L21*$D$12,L21*$D$13*IF(OR($D$9=5,$D$9=11),1,IF(OR($D$9=4,$D$9=10),2,IF(OR($D$9=3,$D$9=9),3,IF(OR($D$9=2,$D$9=8),4,5))))),0))</f>
        <v/>
      </c>
      <c r="K22" s="580" t="str">
        <f t="shared" si="2"/>
        <v/>
      </c>
      <c r="L22" s="591" t="str">
        <f>IF(OR(L21=0,L21=""),"",IF(AND(H22="",C22=""),"",IF(COUNT(H19:H24)&gt;0,L21-IF(I22="",0,I22),"")))</f>
        <v/>
      </c>
    </row>
    <row r="23" spans="2:12">
      <c r="B23" s="540">
        <v>5</v>
      </c>
      <c r="C23" s="551" t="str">
        <f t="shared" si="0"/>
        <v/>
      </c>
      <c r="D23" s="565" t="str">
        <f t="shared" si="3"/>
        <v/>
      </c>
      <c r="E23" s="574" t="str">
        <f t="shared" si="4"/>
        <v/>
      </c>
      <c r="F23" s="580" t="str">
        <f t="shared" si="1"/>
        <v/>
      </c>
      <c r="G23" s="591" t="str">
        <f t="shared" si="5"/>
        <v/>
      </c>
      <c r="H23" s="551" t="str">
        <f>IF(C23="","",IF(OR($D$9=1,$D$9=7),IF(AND(D$7&gt;0,ROUNDDOWN($D$14/6,0)&gt;=1),1,""),""))</f>
        <v/>
      </c>
      <c r="I23" s="565" t="str">
        <f t="shared" si="6"/>
        <v/>
      </c>
      <c r="J23" s="574" t="str">
        <f>IF(H23="","",ROUNDDOWN(IF(OR($D$9=6,$D$9=12),L22*$D$12,L22*$D$13*IF(OR($D$9=5,$D$9=11),1,IF(OR($D$9=4,$D$9=10),2,IF(OR($D$9=3,$D$9=9),3,IF(OR($D$9=2,$D$9=8),4,5))))),0))</f>
        <v/>
      </c>
      <c r="K23" s="580" t="str">
        <f t="shared" si="2"/>
        <v/>
      </c>
      <c r="L23" s="591" t="str">
        <f>IF(OR(L22=0,L22=""),"",IF(AND(H23="",C23=""),"",IF(COUNT(H19:H24)&gt;0,L22-IF(I23="",0,I23),"")))</f>
        <v/>
      </c>
    </row>
    <row r="24" spans="2:12">
      <c r="B24" s="540">
        <v>6</v>
      </c>
      <c r="C24" s="552" t="str">
        <f t="shared" si="0"/>
        <v/>
      </c>
      <c r="D24" s="566" t="str">
        <f t="shared" si="3"/>
        <v/>
      </c>
      <c r="E24" s="575" t="str">
        <f t="shared" si="4"/>
        <v/>
      </c>
      <c r="F24" s="581" t="str">
        <f t="shared" si="1"/>
        <v/>
      </c>
      <c r="G24" s="592" t="str">
        <f t="shared" si="5"/>
        <v/>
      </c>
      <c r="H24" s="552" t="str">
        <f>IF(C24="","",IF(OR($D$9=12,$D$9=6),IF(AND(D$7&gt;0,ROUNDDOWN($D$14/6,0)&gt;=1),1,""),""))</f>
        <v/>
      </c>
      <c r="I24" s="565" t="str">
        <f t="shared" si="6"/>
        <v/>
      </c>
      <c r="J24" s="575" t="str">
        <f>IF(H24="","",ROUNDDOWN(IF(OR($D$9=6,$D$9=12),L23*$D$12,L23*$D$13*IF(OR($D$9=5,$D$9=11),1,IF(OR($D$9=4,$D$9=10),2,IF(OR($D$9=3,$D$9=9),3,IF(OR($D$9=2,$D$9=8),4,5))))),0))</f>
        <v/>
      </c>
      <c r="K24" s="581" t="str">
        <f t="shared" si="2"/>
        <v/>
      </c>
      <c r="L24" s="591" t="str">
        <f>IF(OR(L23=0,L23=""),"",IF(AND(H24="",C24=""),"",IF(COUNT(H19:H24)&gt;0,L23-IF(I24="",0,I24),"")))</f>
        <v/>
      </c>
    </row>
    <row r="25" spans="2:12">
      <c r="B25" s="540">
        <v>7</v>
      </c>
      <c r="C25" s="551" t="str">
        <f t="shared" si="0"/>
        <v/>
      </c>
      <c r="D25" s="565" t="str">
        <f t="shared" si="3"/>
        <v/>
      </c>
      <c r="E25" s="574" t="str">
        <f t="shared" si="4"/>
        <v/>
      </c>
      <c r="F25" s="580" t="str">
        <f t="shared" si="1"/>
        <v/>
      </c>
      <c r="G25" s="591" t="str">
        <f t="shared" si="5"/>
        <v/>
      </c>
      <c r="H25" s="553" t="str">
        <f>IF(C25="","",IF(OR($D$9=5,$D$9=11),IF(AND(D$7&gt;0,ROUNDDOWN($D$14/6,0)&gt;=2),2,""),""))</f>
        <v/>
      </c>
      <c r="I25" s="603" t="str">
        <f t="shared" si="6"/>
        <v/>
      </c>
      <c r="J25" s="574" t="str">
        <f t="shared" ref="J25:J88" si="7">IF(H25="","",ROUNDDOWN(L24*$D$12,0))</f>
        <v/>
      </c>
      <c r="K25" s="582" t="str">
        <f t="shared" si="2"/>
        <v/>
      </c>
      <c r="L25" s="593" t="str">
        <f>IF(OR(L24=0,L24=""),"",IF(AND(H25="",C25=""),"",IF(COUNT(H25:H30)&gt;0,L24-IF(I25="",0,I25),"")))</f>
        <v/>
      </c>
    </row>
    <row r="26" spans="2:12">
      <c r="B26" s="540">
        <v>8</v>
      </c>
      <c r="C26" s="551" t="str">
        <f t="shared" si="0"/>
        <v/>
      </c>
      <c r="D26" s="565" t="str">
        <f t="shared" si="3"/>
        <v/>
      </c>
      <c r="E26" s="574" t="str">
        <f t="shared" si="4"/>
        <v/>
      </c>
      <c r="F26" s="580" t="str">
        <f t="shared" si="1"/>
        <v/>
      </c>
      <c r="G26" s="591" t="str">
        <f t="shared" si="5"/>
        <v/>
      </c>
      <c r="H26" s="551" t="str">
        <f>IF(C26="","",IF(OR($D$9=4,$D$9=10),IF(AND(D$7&gt;0,ROUNDDOWN($D$14/6,0)&gt;=2),2,""),""))</f>
        <v/>
      </c>
      <c r="I26" s="604" t="str">
        <f t="shared" si="6"/>
        <v/>
      </c>
      <c r="J26" s="574" t="str">
        <f t="shared" si="7"/>
        <v/>
      </c>
      <c r="K26" s="580" t="str">
        <f t="shared" si="2"/>
        <v/>
      </c>
      <c r="L26" s="591" t="str">
        <f>IF(OR(L25=0,L25=""),"",IF(AND(H26="",C26=""),"",IF(COUNT(H25:H30)&gt;0,L25-IF(I26="",0,I26),"")))</f>
        <v/>
      </c>
    </row>
    <row r="27" spans="2:12">
      <c r="B27" s="540">
        <v>9</v>
      </c>
      <c r="C27" s="551" t="str">
        <f t="shared" si="0"/>
        <v/>
      </c>
      <c r="D27" s="565" t="str">
        <f t="shared" si="3"/>
        <v/>
      </c>
      <c r="E27" s="574" t="str">
        <f t="shared" si="4"/>
        <v/>
      </c>
      <c r="F27" s="580" t="str">
        <f t="shared" si="1"/>
        <v/>
      </c>
      <c r="G27" s="591" t="str">
        <f t="shared" si="5"/>
        <v/>
      </c>
      <c r="H27" s="551" t="str">
        <f>IF(C27="","",IF(OR($D$9=3,$D$9=9),IF(AND(D$7&gt;0,ROUNDDOWN($D$14/6,0)&gt;=2),2,""),""))</f>
        <v/>
      </c>
      <c r="I27" s="604" t="str">
        <f t="shared" si="6"/>
        <v/>
      </c>
      <c r="J27" s="574" t="str">
        <f t="shared" si="7"/>
        <v/>
      </c>
      <c r="K27" s="580" t="str">
        <f t="shared" si="2"/>
        <v/>
      </c>
      <c r="L27" s="591" t="str">
        <f>IF(OR(L26=0,L26=""),"",IF(AND(H27="",C27=""),"",IF(COUNT(H25:H30)&gt;0,L26-IF(I27="",0,I27),"")))</f>
        <v/>
      </c>
    </row>
    <row r="28" spans="2:12">
      <c r="B28" s="540">
        <v>10</v>
      </c>
      <c r="C28" s="551" t="str">
        <f t="shared" si="0"/>
        <v/>
      </c>
      <c r="D28" s="565" t="str">
        <f t="shared" si="3"/>
        <v/>
      </c>
      <c r="E28" s="574" t="str">
        <f t="shared" si="4"/>
        <v/>
      </c>
      <c r="F28" s="580" t="str">
        <f t="shared" si="1"/>
        <v/>
      </c>
      <c r="G28" s="591" t="str">
        <f t="shared" si="5"/>
        <v/>
      </c>
      <c r="H28" s="551" t="str">
        <f>IF(C28="","",IF(OR($D$9=2,$D$9=8),IF(AND(D$7&gt;0,ROUNDDOWN($D$14/6,0)&gt;=2),2,""),""))</f>
        <v/>
      </c>
      <c r="I28" s="604" t="str">
        <f t="shared" si="6"/>
        <v/>
      </c>
      <c r="J28" s="574" t="str">
        <f t="shared" si="7"/>
        <v/>
      </c>
      <c r="K28" s="580" t="str">
        <f t="shared" si="2"/>
        <v/>
      </c>
      <c r="L28" s="591" t="str">
        <f>IF(OR(L27=0,L27=""),"",IF(AND(H28="",C28=""),"",IF(COUNT(H25:H30)&gt;0,L27-IF(I28="",0,I28),"")))</f>
        <v/>
      </c>
    </row>
    <row r="29" spans="2:12">
      <c r="B29" s="540">
        <v>11</v>
      </c>
      <c r="C29" s="551" t="str">
        <f t="shared" si="0"/>
        <v/>
      </c>
      <c r="D29" s="565" t="str">
        <f t="shared" si="3"/>
        <v/>
      </c>
      <c r="E29" s="574" t="str">
        <f t="shared" si="4"/>
        <v/>
      </c>
      <c r="F29" s="580" t="str">
        <f t="shared" si="1"/>
        <v/>
      </c>
      <c r="G29" s="591" t="str">
        <f t="shared" si="5"/>
        <v/>
      </c>
      <c r="H29" s="551" t="str">
        <f>IF(C29="","",IF(OR($D$9=1,$D$9=7),IF(AND(D$7&gt;0,ROUNDDOWN($D$14/6,0)&gt;=2),2,""),""))</f>
        <v/>
      </c>
      <c r="I29" s="604" t="str">
        <f t="shared" si="6"/>
        <v/>
      </c>
      <c r="J29" s="574" t="str">
        <f t="shared" si="7"/>
        <v/>
      </c>
      <c r="K29" s="580" t="str">
        <f t="shared" si="2"/>
        <v/>
      </c>
      <c r="L29" s="591" t="str">
        <f>IF(OR(L28=0,L28=""),"",IF(AND(H29="",C29=""),"",IF(COUNT(H25:H30)&gt;0,L28-IF(I29="",0,I29),"")))</f>
        <v/>
      </c>
    </row>
    <row r="30" spans="2:12">
      <c r="B30" s="540">
        <v>12</v>
      </c>
      <c r="C30" s="551" t="str">
        <f t="shared" si="0"/>
        <v/>
      </c>
      <c r="D30" s="565" t="str">
        <f t="shared" si="3"/>
        <v/>
      </c>
      <c r="E30" s="574" t="str">
        <f t="shared" si="4"/>
        <v/>
      </c>
      <c r="F30" s="580" t="str">
        <f t="shared" si="1"/>
        <v/>
      </c>
      <c r="G30" s="591" t="str">
        <f t="shared" si="5"/>
        <v/>
      </c>
      <c r="H30" s="551" t="str">
        <f>IF(C30="","",IF(OR($D$9=12,$D$9=6),IF(AND(D$7&gt;0,ROUNDDOWN($D$14/6,0)&gt;=2),2,""),""))</f>
        <v/>
      </c>
      <c r="I30" s="605" t="str">
        <f t="shared" si="6"/>
        <v/>
      </c>
      <c r="J30" s="575" t="str">
        <f t="shared" si="7"/>
        <v/>
      </c>
      <c r="K30" s="581" t="str">
        <f t="shared" si="2"/>
        <v/>
      </c>
      <c r="L30" s="592" t="str">
        <f>IF(OR(L29=0,L29=""),"",IF(AND(H30="",C30=""),"",IF(COUNT(H25:H30)&gt;0,L29-IF(I30="",0,I30),"")))</f>
        <v/>
      </c>
    </row>
    <row r="31" spans="2:12">
      <c r="B31" s="540">
        <v>13</v>
      </c>
      <c r="C31" s="553" t="str">
        <f t="shared" si="0"/>
        <v/>
      </c>
      <c r="D31" s="567" t="str">
        <f t="shared" si="3"/>
        <v/>
      </c>
      <c r="E31" s="576" t="str">
        <f t="shared" si="4"/>
        <v/>
      </c>
      <c r="F31" s="582" t="str">
        <f t="shared" si="1"/>
        <v/>
      </c>
      <c r="G31" s="593" t="str">
        <f t="shared" si="5"/>
        <v/>
      </c>
      <c r="H31" s="553" t="str">
        <f>IF(C33="","",IF(OR($D$9=5,$D$9=11),IF(AND(D$7&gt;0,ROUNDDOWN($D$14/6,0)&gt;=3),3,""),""))</f>
        <v/>
      </c>
      <c r="I31" s="603" t="str">
        <f t="shared" si="6"/>
        <v/>
      </c>
      <c r="J31" s="574" t="str">
        <f t="shared" si="7"/>
        <v/>
      </c>
      <c r="K31" s="582" t="str">
        <f t="shared" si="2"/>
        <v/>
      </c>
      <c r="L31" s="593" t="str">
        <f>IF(OR(L30=0,L30=""),"",IF(AND(H31="",C31=""),"",IF(COUNT(H31:H36)&gt;0,L30-IF(I31="",0,I31),"")))</f>
        <v/>
      </c>
    </row>
    <row r="32" spans="2:12">
      <c r="B32" s="540">
        <v>14</v>
      </c>
      <c r="C32" s="551" t="str">
        <f t="shared" si="0"/>
        <v/>
      </c>
      <c r="D32" s="565" t="str">
        <f t="shared" si="3"/>
        <v/>
      </c>
      <c r="E32" s="574" t="str">
        <f t="shared" si="4"/>
        <v/>
      </c>
      <c r="F32" s="580" t="str">
        <f t="shared" si="1"/>
        <v/>
      </c>
      <c r="G32" s="591" t="str">
        <f t="shared" si="5"/>
        <v/>
      </c>
      <c r="H32" s="551" t="str">
        <f>IF(C32="","",IF(OR($D$9=4,$D$9=10),IF(AND(D$7&gt;0,ROUNDDOWN($D$14/6,0)&gt;=3),3,""),""))</f>
        <v/>
      </c>
      <c r="I32" s="604" t="str">
        <f t="shared" si="6"/>
        <v/>
      </c>
      <c r="J32" s="574" t="str">
        <f t="shared" si="7"/>
        <v/>
      </c>
      <c r="K32" s="580" t="str">
        <f t="shared" si="2"/>
        <v/>
      </c>
      <c r="L32" s="591" t="str">
        <f>IF(OR(L31=0,L31=""),"",IF(AND(H32="",C32=""),"",IF(COUNT(H31:H36)&gt;0,L31-IF(I32="",0,I32),"")))</f>
        <v/>
      </c>
    </row>
    <row r="33" spans="2:12">
      <c r="B33" s="540">
        <v>15</v>
      </c>
      <c r="C33" s="551" t="str">
        <f t="shared" si="0"/>
        <v/>
      </c>
      <c r="D33" s="565" t="str">
        <f t="shared" si="3"/>
        <v/>
      </c>
      <c r="E33" s="574" t="str">
        <f t="shared" si="4"/>
        <v/>
      </c>
      <c r="F33" s="580" t="str">
        <f t="shared" si="1"/>
        <v/>
      </c>
      <c r="G33" s="591" t="str">
        <f t="shared" si="5"/>
        <v/>
      </c>
      <c r="H33" s="551" t="str">
        <f>IF(C33="","",IF(OR($D$9=3,$D$9=9),IF(AND(D$7&gt;0,ROUNDDOWN($D$14/6,0)&gt;=3),3,""),""))</f>
        <v/>
      </c>
      <c r="I33" s="604" t="str">
        <f t="shared" si="6"/>
        <v/>
      </c>
      <c r="J33" s="574" t="str">
        <f t="shared" si="7"/>
        <v/>
      </c>
      <c r="K33" s="580" t="str">
        <f t="shared" si="2"/>
        <v/>
      </c>
      <c r="L33" s="591" t="str">
        <f>IF(OR(L32=0,L32=""),"",IF(AND(H33="",C33=""),"",IF(COUNT(H31:H36)&gt;0,L32-IF(I33="",0,I33),"")))</f>
        <v/>
      </c>
    </row>
    <row r="34" spans="2:12">
      <c r="B34" s="540">
        <v>16</v>
      </c>
      <c r="C34" s="551" t="str">
        <f t="shared" si="0"/>
        <v/>
      </c>
      <c r="D34" s="565" t="str">
        <f t="shared" si="3"/>
        <v/>
      </c>
      <c r="E34" s="574" t="str">
        <f t="shared" si="4"/>
        <v/>
      </c>
      <c r="F34" s="580" t="str">
        <f t="shared" si="1"/>
        <v/>
      </c>
      <c r="G34" s="591" t="str">
        <f t="shared" si="5"/>
        <v/>
      </c>
      <c r="H34" s="551" t="str">
        <f>IF(C34="","",IF(OR($D$9=2,$D$9=8),IF(AND(D$7&gt;0,ROUNDDOWN($D$14/6,0)&gt;=3),3,""),""))</f>
        <v/>
      </c>
      <c r="I34" s="604" t="str">
        <f t="shared" si="6"/>
        <v/>
      </c>
      <c r="J34" s="574" t="str">
        <f t="shared" si="7"/>
        <v/>
      </c>
      <c r="K34" s="580" t="str">
        <f t="shared" si="2"/>
        <v/>
      </c>
      <c r="L34" s="591" t="str">
        <f>IF(OR(L33=0,L33=""),"",IF(AND(H34="",C34=""),"",IF(COUNT(H31:H36)&gt;0,L33-IF(I34="",0,I34),"")))</f>
        <v/>
      </c>
    </row>
    <row r="35" spans="2:12">
      <c r="B35" s="540">
        <v>17</v>
      </c>
      <c r="C35" s="551" t="str">
        <f t="shared" si="0"/>
        <v/>
      </c>
      <c r="D35" s="565" t="str">
        <f t="shared" si="3"/>
        <v/>
      </c>
      <c r="E35" s="574" t="str">
        <f t="shared" si="4"/>
        <v/>
      </c>
      <c r="F35" s="580" t="str">
        <f t="shared" si="1"/>
        <v/>
      </c>
      <c r="G35" s="591" t="str">
        <f t="shared" si="5"/>
        <v/>
      </c>
      <c r="H35" s="551" t="str">
        <f>IF(C35="","",IF(OR($D$9=1,$D$9=7),IF(AND(D$7&gt;0,ROUNDDOWN($D$14/6,0)&gt;=3),3,""),""))</f>
        <v/>
      </c>
      <c r="I35" s="604" t="str">
        <f t="shared" si="6"/>
        <v/>
      </c>
      <c r="J35" s="574" t="str">
        <f t="shared" si="7"/>
        <v/>
      </c>
      <c r="K35" s="580" t="str">
        <f t="shared" si="2"/>
        <v/>
      </c>
      <c r="L35" s="591" t="str">
        <f>IF(OR(L34=0,L34=""),"",IF(AND(H35="",C35=""),"",IF(COUNT(H31:H36)&gt;0,L34-IF(I35="",0,I35),"")))</f>
        <v/>
      </c>
    </row>
    <row r="36" spans="2:12">
      <c r="B36" s="540">
        <v>18</v>
      </c>
      <c r="C36" s="552" t="str">
        <f t="shared" si="0"/>
        <v/>
      </c>
      <c r="D36" s="566" t="str">
        <f t="shared" si="3"/>
        <v/>
      </c>
      <c r="E36" s="575" t="str">
        <f t="shared" si="4"/>
        <v/>
      </c>
      <c r="F36" s="581" t="str">
        <f t="shared" si="1"/>
        <v/>
      </c>
      <c r="G36" s="592" t="str">
        <f t="shared" si="5"/>
        <v/>
      </c>
      <c r="H36" s="552" t="str">
        <f>IF(C36="","",IF(OR($D$9=12,$D$9=6),IF(AND(D$7&gt;0,ROUNDDOWN($D$14/6,0)&gt;=3),3,""),""))</f>
        <v/>
      </c>
      <c r="I36" s="605" t="str">
        <f t="shared" si="6"/>
        <v/>
      </c>
      <c r="J36" s="575" t="str">
        <f t="shared" si="7"/>
        <v/>
      </c>
      <c r="K36" s="581" t="str">
        <f t="shared" si="2"/>
        <v/>
      </c>
      <c r="L36" s="592" t="str">
        <f>IF(OR(L35=0,L35=""),"",IF(AND(H36="",C36=""),"",IF(COUNT(H31:H36)&gt;0,L35-IF(I36="",0,I36),"")))</f>
        <v/>
      </c>
    </row>
    <row r="37" spans="2:12">
      <c r="B37" s="540">
        <v>19</v>
      </c>
      <c r="C37" s="551" t="str">
        <f t="shared" si="0"/>
        <v/>
      </c>
      <c r="D37" s="565" t="str">
        <f t="shared" si="3"/>
        <v/>
      </c>
      <c r="E37" s="574" t="str">
        <f t="shared" si="4"/>
        <v/>
      </c>
      <c r="F37" s="580" t="str">
        <f t="shared" si="1"/>
        <v/>
      </c>
      <c r="G37" s="591" t="str">
        <f t="shared" si="5"/>
        <v/>
      </c>
      <c r="H37" s="553" t="str">
        <f>IF(C37="","",IF(OR($D$9=5,$D$9=11),IF(AND(D$7&gt;0,ROUNDDOWN($D$14/6,0)&gt;=4),4,""),""))</f>
        <v/>
      </c>
      <c r="I37" s="603" t="str">
        <f t="shared" si="6"/>
        <v/>
      </c>
      <c r="J37" s="574" t="str">
        <f t="shared" si="7"/>
        <v/>
      </c>
      <c r="K37" s="582" t="str">
        <f t="shared" si="2"/>
        <v/>
      </c>
      <c r="L37" s="593" t="str">
        <f>IF(OR(L36=0,L36=""),"",IF(AND(H37="",C37=""),"",IF(COUNT(H37:H42)&gt;0,L36-IF(I37="",0,I37),"")))</f>
        <v/>
      </c>
    </row>
    <row r="38" spans="2:12">
      <c r="B38" s="540">
        <v>20</v>
      </c>
      <c r="C38" s="551" t="str">
        <f t="shared" si="0"/>
        <v/>
      </c>
      <c r="D38" s="565" t="str">
        <f t="shared" si="3"/>
        <v/>
      </c>
      <c r="E38" s="574" t="str">
        <f t="shared" si="4"/>
        <v/>
      </c>
      <c r="F38" s="580" t="str">
        <f t="shared" si="1"/>
        <v/>
      </c>
      <c r="G38" s="591" t="str">
        <f t="shared" si="5"/>
        <v/>
      </c>
      <c r="H38" s="551" t="str">
        <f>IF(C38="","",IF(OR($D$9=4,$D$9=10),IF(AND(D$7&gt;0,ROUNDDOWN($D$14/6,0)&gt;=4),4,""),""))</f>
        <v/>
      </c>
      <c r="I38" s="604" t="str">
        <f t="shared" si="6"/>
        <v/>
      </c>
      <c r="J38" s="574" t="str">
        <f t="shared" si="7"/>
        <v/>
      </c>
      <c r="K38" s="580" t="str">
        <f t="shared" si="2"/>
        <v/>
      </c>
      <c r="L38" s="591" t="str">
        <f>IF(OR(L37=0,L37=""),"",IF(AND(H38="",C38=""),"",IF(COUNT(H37:H42)&gt;0,L37-IF(I38="",0,I38),"")))</f>
        <v/>
      </c>
    </row>
    <row r="39" spans="2:12">
      <c r="B39" s="540">
        <v>21</v>
      </c>
      <c r="C39" s="551" t="str">
        <f t="shared" si="0"/>
        <v/>
      </c>
      <c r="D39" s="565" t="str">
        <f t="shared" si="3"/>
        <v/>
      </c>
      <c r="E39" s="574" t="str">
        <f t="shared" si="4"/>
        <v/>
      </c>
      <c r="F39" s="580" t="str">
        <f t="shared" si="1"/>
        <v/>
      </c>
      <c r="G39" s="591" t="str">
        <f t="shared" si="5"/>
        <v/>
      </c>
      <c r="H39" s="551" t="str">
        <f>IF(C39="","",IF(OR($D$9=3,$D$9=9),IF(AND(D$7&gt;0,ROUNDDOWN($D$14/6,0)&gt;=4),4,""),""))</f>
        <v/>
      </c>
      <c r="I39" s="604" t="str">
        <f t="shared" si="6"/>
        <v/>
      </c>
      <c r="J39" s="574" t="str">
        <f t="shared" si="7"/>
        <v/>
      </c>
      <c r="K39" s="580" t="str">
        <f t="shared" si="2"/>
        <v/>
      </c>
      <c r="L39" s="591" t="str">
        <f>IF(OR(L38=0,L38=""),"",IF(AND(H39="",C39=""),"",IF(COUNT(H37:H42)&gt;0,L38-IF(I39="",0,I39),"")))</f>
        <v/>
      </c>
    </row>
    <row r="40" spans="2:12">
      <c r="B40" s="540">
        <v>22</v>
      </c>
      <c r="C40" s="551" t="str">
        <f t="shared" si="0"/>
        <v/>
      </c>
      <c r="D40" s="565" t="str">
        <f t="shared" si="3"/>
        <v/>
      </c>
      <c r="E40" s="574" t="str">
        <f t="shared" si="4"/>
        <v/>
      </c>
      <c r="F40" s="580" t="str">
        <f t="shared" si="1"/>
        <v/>
      </c>
      <c r="G40" s="591" t="str">
        <f t="shared" si="5"/>
        <v/>
      </c>
      <c r="H40" s="551" t="str">
        <f>IF(C40="","",IF(OR($D$9=2,$D$9=8),IF(AND(D$7&gt;0,ROUNDDOWN($D$14/6,0)&gt;=4),4,""),""))</f>
        <v/>
      </c>
      <c r="I40" s="604" t="str">
        <f t="shared" si="6"/>
        <v/>
      </c>
      <c r="J40" s="574" t="str">
        <f t="shared" si="7"/>
        <v/>
      </c>
      <c r="K40" s="580" t="str">
        <f t="shared" si="2"/>
        <v/>
      </c>
      <c r="L40" s="591" t="str">
        <f>IF(OR(L39=0,L39=""),"",IF(AND(H40="",C40=""),"",IF(COUNT(H37:H42)&gt;0,L39-IF(I40="",0,I40),"")))</f>
        <v/>
      </c>
    </row>
    <row r="41" spans="2:12">
      <c r="B41" s="540">
        <v>23</v>
      </c>
      <c r="C41" s="551" t="str">
        <f t="shared" si="0"/>
        <v/>
      </c>
      <c r="D41" s="565" t="str">
        <f t="shared" si="3"/>
        <v/>
      </c>
      <c r="E41" s="574" t="str">
        <f t="shared" si="4"/>
        <v/>
      </c>
      <c r="F41" s="580" t="str">
        <f t="shared" si="1"/>
        <v/>
      </c>
      <c r="G41" s="591" t="str">
        <f t="shared" si="5"/>
        <v/>
      </c>
      <c r="H41" s="551" t="str">
        <f>IF(C41="","",IF(OR($D$9=1,$D$9=7),IF(AND(D$7&gt;0,ROUNDDOWN($D$14/6,0)&gt;=4),4,""),""))</f>
        <v/>
      </c>
      <c r="I41" s="604" t="str">
        <f t="shared" si="6"/>
        <v/>
      </c>
      <c r="J41" s="574" t="str">
        <f t="shared" si="7"/>
        <v/>
      </c>
      <c r="K41" s="580" t="str">
        <f t="shared" si="2"/>
        <v/>
      </c>
      <c r="L41" s="591" t="str">
        <f>IF(OR(L40=0,L40=""),"",IF(AND(H41="",C41=""),"",IF(COUNT(H37:H42)&gt;0,L40-IF(I41="",0,I41),"")))</f>
        <v/>
      </c>
    </row>
    <row r="42" spans="2:12">
      <c r="B42" s="540">
        <v>24</v>
      </c>
      <c r="C42" s="551" t="str">
        <f t="shared" si="0"/>
        <v/>
      </c>
      <c r="D42" s="565" t="str">
        <f t="shared" si="3"/>
        <v/>
      </c>
      <c r="E42" s="574" t="str">
        <f t="shared" si="4"/>
        <v/>
      </c>
      <c r="F42" s="580" t="str">
        <f t="shared" si="1"/>
        <v/>
      </c>
      <c r="G42" s="591" t="str">
        <f t="shared" si="5"/>
        <v/>
      </c>
      <c r="H42" s="552" t="str">
        <f>IF(C42="","",IF(OR($D$9=12,$D$9=6),IF(AND(D$7&gt;0,ROUNDDOWN($D$14/6,0)&gt;=4),4,""),""))</f>
        <v/>
      </c>
      <c r="I42" s="605" t="str">
        <f t="shared" si="6"/>
        <v/>
      </c>
      <c r="J42" s="575" t="str">
        <f t="shared" si="7"/>
        <v/>
      </c>
      <c r="K42" s="581" t="str">
        <f t="shared" si="2"/>
        <v/>
      </c>
      <c r="L42" s="592" t="str">
        <f>IF(OR(L41=0,L41=""),"",IF(AND(H42="",C42=""),"",IF(COUNT(H37:H42)&gt;0,L41-IF(I42="",0,I42),"")))</f>
        <v/>
      </c>
    </row>
    <row r="43" spans="2:12">
      <c r="B43" s="540">
        <v>25</v>
      </c>
      <c r="C43" s="553" t="str">
        <f t="shared" si="0"/>
        <v/>
      </c>
      <c r="D43" s="567" t="str">
        <f t="shared" si="3"/>
        <v/>
      </c>
      <c r="E43" s="576" t="str">
        <f t="shared" si="4"/>
        <v/>
      </c>
      <c r="F43" s="582" t="str">
        <f t="shared" si="1"/>
        <v/>
      </c>
      <c r="G43" s="593" t="str">
        <f t="shared" si="5"/>
        <v/>
      </c>
      <c r="H43" s="553" t="str">
        <f>IF(C43="","",IF(OR($D$9=5,$D$9=11),IF(AND(D$7&gt;0,ROUNDDOWN($D$14/6,0)&gt;=5),5,""),""))</f>
        <v/>
      </c>
      <c r="I43" s="603" t="str">
        <f t="shared" si="6"/>
        <v/>
      </c>
      <c r="J43" s="574" t="str">
        <f t="shared" si="7"/>
        <v/>
      </c>
      <c r="K43" s="582" t="str">
        <f t="shared" si="2"/>
        <v/>
      </c>
      <c r="L43" s="593" t="str">
        <f>IF(OR(L42=0,L42=""),"",IF(AND(H43="",C43=""),"",IF(COUNT(H43:H48)&gt;0,L42-IF(I43="",0,I43),"")))</f>
        <v/>
      </c>
    </row>
    <row r="44" spans="2:12">
      <c r="B44" s="540">
        <v>26</v>
      </c>
      <c r="C44" s="551" t="str">
        <f t="shared" si="0"/>
        <v/>
      </c>
      <c r="D44" s="565" t="str">
        <f t="shared" si="3"/>
        <v/>
      </c>
      <c r="E44" s="574" t="str">
        <f t="shared" si="4"/>
        <v/>
      </c>
      <c r="F44" s="580" t="str">
        <f t="shared" si="1"/>
        <v/>
      </c>
      <c r="G44" s="591" t="str">
        <f t="shared" si="5"/>
        <v/>
      </c>
      <c r="H44" s="551" t="str">
        <f>IF(C44="","",IF(OR($D$9=4,$D$9=10),IF(AND(D$7&gt;0,ROUNDDOWN($D$14/6,0)&gt;=5),5,""),""))</f>
        <v/>
      </c>
      <c r="I44" s="604" t="str">
        <f t="shared" si="6"/>
        <v/>
      </c>
      <c r="J44" s="574" t="str">
        <f t="shared" si="7"/>
        <v/>
      </c>
      <c r="K44" s="580" t="str">
        <f t="shared" si="2"/>
        <v/>
      </c>
      <c r="L44" s="591" t="str">
        <f>IF(OR(L43=0,L43=""),"",IF(AND(H44="",C44=""),"",IF(COUNT(H43:H48)&gt;0,L43-IF(I44="",0,I44),"")))</f>
        <v/>
      </c>
    </row>
    <row r="45" spans="2:12">
      <c r="B45" s="540">
        <v>27</v>
      </c>
      <c r="C45" s="551" t="str">
        <f t="shared" si="0"/>
        <v/>
      </c>
      <c r="D45" s="565" t="str">
        <f t="shared" si="3"/>
        <v/>
      </c>
      <c r="E45" s="574" t="str">
        <f t="shared" si="4"/>
        <v/>
      </c>
      <c r="F45" s="580" t="str">
        <f t="shared" si="1"/>
        <v/>
      </c>
      <c r="G45" s="591" t="str">
        <f t="shared" si="5"/>
        <v/>
      </c>
      <c r="H45" s="551" t="str">
        <f>IF(C45="","",IF(OR($D$9=3,$D$9=9),IF(AND(D$7&gt;0,ROUNDDOWN($D$14/6,0)&gt;=5),5,""),""))</f>
        <v/>
      </c>
      <c r="I45" s="604" t="str">
        <f t="shared" si="6"/>
        <v/>
      </c>
      <c r="J45" s="574" t="str">
        <f t="shared" si="7"/>
        <v/>
      </c>
      <c r="K45" s="580" t="str">
        <f t="shared" si="2"/>
        <v/>
      </c>
      <c r="L45" s="591" t="str">
        <f>IF(OR(L44=0,L44=""),"",IF(AND(H45="",C45=""),"",IF(COUNT(H43:H48)&gt;0,L44-IF(I45="",0,I45),"")))</f>
        <v/>
      </c>
    </row>
    <row r="46" spans="2:12">
      <c r="B46" s="540">
        <v>28</v>
      </c>
      <c r="C46" s="551" t="str">
        <f t="shared" si="0"/>
        <v/>
      </c>
      <c r="D46" s="565" t="str">
        <f t="shared" si="3"/>
        <v/>
      </c>
      <c r="E46" s="574" t="str">
        <f t="shared" si="4"/>
        <v/>
      </c>
      <c r="F46" s="580" t="str">
        <f t="shared" si="1"/>
        <v/>
      </c>
      <c r="G46" s="591" t="str">
        <f t="shared" si="5"/>
        <v/>
      </c>
      <c r="H46" s="551" t="str">
        <f>IF(C46="","",IF(OR($D$9=2,$D$9=8),IF(AND(D$7&gt;0,ROUNDDOWN($D$14/6,0)&gt;=5),5,""),""))</f>
        <v/>
      </c>
      <c r="I46" s="604" t="str">
        <f t="shared" si="6"/>
        <v/>
      </c>
      <c r="J46" s="574" t="str">
        <f t="shared" si="7"/>
        <v/>
      </c>
      <c r="K46" s="580" t="str">
        <f t="shared" si="2"/>
        <v/>
      </c>
      <c r="L46" s="591" t="str">
        <f>IF(OR(L45=0,L45=""),"",IF(AND(H46="",C46=""),"",IF(COUNT(H43:H48)&gt;0,L45-IF(I46="",0,I46),"")))</f>
        <v/>
      </c>
    </row>
    <row r="47" spans="2:12">
      <c r="B47" s="540">
        <v>29</v>
      </c>
      <c r="C47" s="551" t="str">
        <f t="shared" si="0"/>
        <v/>
      </c>
      <c r="D47" s="565" t="str">
        <f t="shared" si="3"/>
        <v/>
      </c>
      <c r="E47" s="574" t="str">
        <f t="shared" si="4"/>
        <v/>
      </c>
      <c r="F47" s="580" t="str">
        <f t="shared" si="1"/>
        <v/>
      </c>
      <c r="G47" s="591" t="str">
        <f t="shared" si="5"/>
        <v/>
      </c>
      <c r="H47" s="551" t="str">
        <f>IF(C47="","",IF(OR($D$9=1,$D$9=7),IF(AND(D$7&gt;0,ROUNDDOWN($D$14/6,0)&gt;=5),5,""),""))</f>
        <v/>
      </c>
      <c r="I47" s="604" t="str">
        <f t="shared" si="6"/>
        <v/>
      </c>
      <c r="J47" s="574" t="str">
        <f t="shared" si="7"/>
        <v/>
      </c>
      <c r="K47" s="580" t="str">
        <f t="shared" si="2"/>
        <v/>
      </c>
      <c r="L47" s="591" t="str">
        <f>IF(OR(L46=0,L46=""),"",IF(AND(H47="",C47=""),"",IF(COUNT(H43:H48)&gt;0,L46-IF(I47="",0,I47),"")))</f>
        <v/>
      </c>
    </row>
    <row r="48" spans="2:12">
      <c r="B48" s="540">
        <v>30</v>
      </c>
      <c r="C48" s="552" t="str">
        <f t="shared" si="0"/>
        <v/>
      </c>
      <c r="D48" s="566" t="str">
        <f t="shared" si="3"/>
        <v/>
      </c>
      <c r="E48" s="575" t="str">
        <f t="shared" si="4"/>
        <v/>
      </c>
      <c r="F48" s="581" t="str">
        <f t="shared" si="1"/>
        <v/>
      </c>
      <c r="G48" s="592" t="str">
        <f t="shared" si="5"/>
        <v/>
      </c>
      <c r="H48" s="552" t="str">
        <f>IF(C48="","",IF(OR($D$9=12,$D$9=6),IF(AND(D$7&gt;0,ROUNDDOWN($D$14/6,0)&gt;=5),5,""),""))</f>
        <v/>
      </c>
      <c r="I48" s="605" t="str">
        <f t="shared" si="6"/>
        <v/>
      </c>
      <c r="J48" s="575" t="str">
        <f t="shared" si="7"/>
        <v/>
      </c>
      <c r="K48" s="581" t="str">
        <f t="shared" si="2"/>
        <v/>
      </c>
      <c r="L48" s="592" t="str">
        <f>IF(OR(L47=0,L47=""),"",IF(AND(H48="",C48=""),"",IF(COUNT(H43:H48)&gt;0,L47-IF(I48="",0,I48),"")))</f>
        <v/>
      </c>
    </row>
    <row r="49" spans="2:12">
      <c r="B49" s="540">
        <v>31</v>
      </c>
      <c r="C49" s="551" t="str">
        <f t="shared" si="0"/>
        <v/>
      </c>
      <c r="D49" s="565" t="str">
        <f t="shared" si="3"/>
        <v/>
      </c>
      <c r="E49" s="574" t="str">
        <f t="shared" si="4"/>
        <v/>
      </c>
      <c r="F49" s="580" t="str">
        <f t="shared" si="1"/>
        <v/>
      </c>
      <c r="G49" s="591" t="str">
        <f t="shared" si="5"/>
        <v/>
      </c>
      <c r="H49" s="551" t="str">
        <f>IF(C49="","",IF(OR($D$9=5,$D$9=11),IF(AND(D$7&gt;0,ROUNDDOWN($D$14/6,0)&gt;=6),6,""),""))</f>
        <v/>
      </c>
      <c r="I49" s="603" t="str">
        <f t="shared" si="6"/>
        <v/>
      </c>
      <c r="J49" s="574" t="str">
        <f t="shared" si="7"/>
        <v/>
      </c>
      <c r="K49" s="582" t="str">
        <f t="shared" si="2"/>
        <v/>
      </c>
      <c r="L49" s="593" t="str">
        <f>IF(OR(L48=0,L48=""),"",IF(AND(H49="",C49=""),"",IF(COUNT(H49:H54)&gt;0,L48-IF(I49="",0,I49),"")))</f>
        <v/>
      </c>
    </row>
    <row r="50" spans="2:12">
      <c r="B50" s="540">
        <v>32</v>
      </c>
      <c r="C50" s="551" t="str">
        <f t="shared" si="0"/>
        <v/>
      </c>
      <c r="D50" s="565" t="str">
        <f t="shared" si="3"/>
        <v/>
      </c>
      <c r="E50" s="574" t="str">
        <f t="shared" si="4"/>
        <v/>
      </c>
      <c r="F50" s="580" t="str">
        <f t="shared" si="1"/>
        <v/>
      </c>
      <c r="G50" s="591" t="str">
        <f t="shared" si="5"/>
        <v/>
      </c>
      <c r="H50" s="551" t="str">
        <f>IF(C50="","",IF(OR($D$9=4,$D$9=10),IF(AND(D$7&gt;0,ROUNDDOWN($D$14/6,0)&gt;=6),6,""),""))</f>
        <v/>
      </c>
      <c r="I50" s="604" t="str">
        <f t="shared" si="6"/>
        <v/>
      </c>
      <c r="J50" s="574" t="str">
        <f t="shared" si="7"/>
        <v/>
      </c>
      <c r="K50" s="580" t="str">
        <f t="shared" si="2"/>
        <v/>
      </c>
      <c r="L50" s="591" t="str">
        <f>IF(OR(L49=0,L49=""),"",IF(AND(H50="",C50=""),"",IF(COUNT(H49:H54)&gt;0,L49-IF(I50="",0,I50),"")))</f>
        <v/>
      </c>
    </row>
    <row r="51" spans="2:12">
      <c r="B51" s="540">
        <v>33</v>
      </c>
      <c r="C51" s="551" t="str">
        <f t="shared" si="0"/>
        <v/>
      </c>
      <c r="D51" s="565" t="str">
        <f t="shared" si="3"/>
        <v/>
      </c>
      <c r="E51" s="574" t="str">
        <f t="shared" si="4"/>
        <v/>
      </c>
      <c r="F51" s="580" t="str">
        <f t="shared" si="1"/>
        <v/>
      </c>
      <c r="G51" s="591" t="str">
        <f t="shared" si="5"/>
        <v/>
      </c>
      <c r="H51" s="551" t="str">
        <f>IF(C51="","",IF(OR($D$9=3,$D$9=9),IF(AND(D$7&gt;0,ROUNDDOWN($D$14/6,0)&gt;=6),6,""),""))</f>
        <v/>
      </c>
      <c r="I51" s="604" t="str">
        <f t="shared" si="6"/>
        <v/>
      </c>
      <c r="J51" s="574" t="str">
        <f t="shared" si="7"/>
        <v/>
      </c>
      <c r="K51" s="580" t="str">
        <f t="shared" si="2"/>
        <v/>
      </c>
      <c r="L51" s="591" t="str">
        <f>IF(OR(L50=0,L50=""),"",IF(AND(H51="",C51=""),"",IF(COUNT(H49:H54)&gt;0,L50-IF(I51="",0,I51),"")))</f>
        <v/>
      </c>
    </row>
    <row r="52" spans="2:12">
      <c r="B52" s="540">
        <v>34</v>
      </c>
      <c r="C52" s="551" t="str">
        <f t="shared" si="0"/>
        <v/>
      </c>
      <c r="D52" s="565" t="str">
        <f t="shared" si="3"/>
        <v/>
      </c>
      <c r="E52" s="574" t="str">
        <f t="shared" si="4"/>
        <v/>
      </c>
      <c r="F52" s="580" t="str">
        <f t="shared" si="1"/>
        <v/>
      </c>
      <c r="G52" s="591" t="str">
        <f t="shared" si="5"/>
        <v/>
      </c>
      <c r="H52" s="551" t="str">
        <f>IF(C52="","",IF(OR($D$9=2,$D$9=8),IF(AND(D$7&gt;0,ROUNDDOWN($D$14/6,0)&gt;=6),6,""),""))</f>
        <v/>
      </c>
      <c r="I52" s="604" t="str">
        <f t="shared" si="6"/>
        <v/>
      </c>
      <c r="J52" s="574" t="str">
        <f t="shared" si="7"/>
        <v/>
      </c>
      <c r="K52" s="580" t="str">
        <f t="shared" si="2"/>
        <v/>
      </c>
      <c r="L52" s="591" t="str">
        <f>IF(OR(L51=0,L51=""),"",IF(AND(H52="",C52=""),"",IF(COUNT(H49:H54)&gt;0,L51-IF(I52="",0,I52),"")))</f>
        <v/>
      </c>
    </row>
    <row r="53" spans="2:12">
      <c r="B53" s="540">
        <v>35</v>
      </c>
      <c r="C53" s="551" t="str">
        <f t="shared" si="0"/>
        <v/>
      </c>
      <c r="D53" s="565" t="str">
        <f t="shared" si="3"/>
        <v/>
      </c>
      <c r="E53" s="574" t="str">
        <f t="shared" si="4"/>
        <v/>
      </c>
      <c r="F53" s="580" t="str">
        <f t="shared" si="1"/>
        <v/>
      </c>
      <c r="G53" s="591" t="str">
        <f t="shared" si="5"/>
        <v/>
      </c>
      <c r="H53" s="551" t="str">
        <f>IF(C53="","",IF(OR($D$9=1,$D$9=7),IF(AND(D$7&gt;0,ROUNDDOWN($D$14/6,0)&gt;=6),6,""),""))</f>
        <v/>
      </c>
      <c r="I53" s="604" t="str">
        <f t="shared" si="6"/>
        <v/>
      </c>
      <c r="J53" s="574" t="str">
        <f t="shared" si="7"/>
        <v/>
      </c>
      <c r="K53" s="580" t="str">
        <f t="shared" si="2"/>
        <v/>
      </c>
      <c r="L53" s="591" t="str">
        <f>IF(OR(L52=0,L52=""),"",IF(AND(H53="",C53=""),"",IF(COUNT(H49:H54)&gt;0,L52-IF(I53="",0,I53),"")))</f>
        <v/>
      </c>
    </row>
    <row r="54" spans="2:12">
      <c r="B54" s="540">
        <v>36</v>
      </c>
      <c r="C54" s="551" t="str">
        <f t="shared" si="0"/>
        <v/>
      </c>
      <c r="D54" s="565" t="str">
        <f t="shared" si="3"/>
        <v/>
      </c>
      <c r="E54" s="574" t="str">
        <f t="shared" si="4"/>
        <v/>
      </c>
      <c r="F54" s="580" t="str">
        <f t="shared" si="1"/>
        <v/>
      </c>
      <c r="G54" s="591" t="str">
        <f t="shared" si="5"/>
        <v/>
      </c>
      <c r="H54" s="551" t="str">
        <f>IF(C54="","",IF(OR($D$9=12,$D$9=6),IF(AND(D$7&gt;0,ROUNDDOWN($D$14/6,0)&gt;=6),6,""),""))</f>
        <v/>
      </c>
      <c r="I54" s="605" t="str">
        <f t="shared" si="6"/>
        <v/>
      </c>
      <c r="J54" s="575" t="str">
        <f t="shared" si="7"/>
        <v/>
      </c>
      <c r="K54" s="581" t="str">
        <f t="shared" si="2"/>
        <v/>
      </c>
      <c r="L54" s="592" t="str">
        <f>IF(OR(L53=0,L53=""),"",IF(AND(H54="",C54=""),"",IF(COUNT(H49:H54)&gt;0,L53-IF(I54="",0,I54),"")))</f>
        <v/>
      </c>
    </row>
    <row r="55" spans="2:12">
      <c r="B55" s="540">
        <v>37</v>
      </c>
      <c r="C55" s="553" t="str">
        <f t="shared" si="0"/>
        <v/>
      </c>
      <c r="D55" s="567" t="str">
        <f t="shared" si="3"/>
        <v/>
      </c>
      <c r="E55" s="576" t="str">
        <f t="shared" si="4"/>
        <v/>
      </c>
      <c r="F55" s="582" t="str">
        <f t="shared" si="1"/>
        <v/>
      </c>
      <c r="G55" s="593" t="str">
        <f t="shared" si="5"/>
        <v/>
      </c>
      <c r="H55" s="553" t="str">
        <f>IF(C55="","",IF(OR($D$9=5,$D$9=11),IF(AND(D$7&gt;0,ROUNDDOWN($D$14/6,0)&gt;=7),7,""),""))</f>
        <v/>
      </c>
      <c r="I55" s="603" t="str">
        <f t="shared" si="6"/>
        <v/>
      </c>
      <c r="J55" s="574" t="str">
        <f t="shared" si="7"/>
        <v/>
      </c>
      <c r="K55" s="582" t="str">
        <f t="shared" si="2"/>
        <v/>
      </c>
      <c r="L55" s="593" t="str">
        <f>IF(OR(L54=0,L54=""),"",IF(AND(H55="",C55=""),"",IF(COUNT(H55:H60)&gt;0,L54-IF(I55="",0,I55),"")))</f>
        <v/>
      </c>
    </row>
    <row r="56" spans="2:12">
      <c r="B56" s="540">
        <v>38</v>
      </c>
      <c r="C56" s="551" t="str">
        <f t="shared" si="0"/>
        <v/>
      </c>
      <c r="D56" s="565" t="str">
        <f t="shared" si="3"/>
        <v/>
      </c>
      <c r="E56" s="574" t="str">
        <f t="shared" si="4"/>
        <v/>
      </c>
      <c r="F56" s="580" t="str">
        <f t="shared" si="1"/>
        <v/>
      </c>
      <c r="G56" s="591" t="str">
        <f t="shared" si="5"/>
        <v/>
      </c>
      <c r="H56" s="551" t="str">
        <f>IF(C56="","",IF(OR($D$9=4,$D$9=10),IF(AND(D$7&gt;0,ROUNDDOWN($D$14/6,0)&gt;=7),7,""),""))</f>
        <v/>
      </c>
      <c r="I56" s="604" t="str">
        <f t="shared" si="6"/>
        <v/>
      </c>
      <c r="J56" s="574" t="str">
        <f t="shared" si="7"/>
        <v/>
      </c>
      <c r="K56" s="580" t="str">
        <f t="shared" si="2"/>
        <v/>
      </c>
      <c r="L56" s="591" t="str">
        <f>IF(OR(L55=0,L55=""),"",IF(AND(H56="",C56=""),"",IF(COUNT(H55:H60)&gt;0,L55-IF(I56="",0,I56),"")))</f>
        <v/>
      </c>
    </row>
    <row r="57" spans="2:12">
      <c r="B57" s="540">
        <v>39</v>
      </c>
      <c r="C57" s="551" t="str">
        <f t="shared" si="0"/>
        <v/>
      </c>
      <c r="D57" s="565" t="str">
        <f t="shared" si="3"/>
        <v/>
      </c>
      <c r="E57" s="574" t="str">
        <f t="shared" si="4"/>
        <v/>
      </c>
      <c r="F57" s="580" t="str">
        <f t="shared" si="1"/>
        <v/>
      </c>
      <c r="G57" s="591" t="str">
        <f t="shared" si="5"/>
        <v/>
      </c>
      <c r="H57" s="551" t="str">
        <f>IF(C57="","",IF(OR($D$9=3,$D$9=9),IF(AND(D$7&gt;0,ROUNDDOWN($D$14/6,0)&gt;=7),7,""),""))</f>
        <v/>
      </c>
      <c r="I57" s="604" t="str">
        <f t="shared" si="6"/>
        <v/>
      </c>
      <c r="J57" s="574" t="str">
        <f t="shared" si="7"/>
        <v/>
      </c>
      <c r="K57" s="580" t="str">
        <f t="shared" si="2"/>
        <v/>
      </c>
      <c r="L57" s="591" t="str">
        <f>IF(OR(L56=0,L56=""),"",IF(AND(H57="",C57=""),"",IF(COUNT(H55:H60)&gt;0,L56-IF(I57="",0,I57),"")))</f>
        <v/>
      </c>
    </row>
    <row r="58" spans="2:12">
      <c r="B58" s="540">
        <v>40</v>
      </c>
      <c r="C58" s="551" t="str">
        <f t="shared" si="0"/>
        <v/>
      </c>
      <c r="D58" s="565" t="str">
        <f t="shared" si="3"/>
        <v/>
      </c>
      <c r="E58" s="574" t="str">
        <f t="shared" si="4"/>
        <v/>
      </c>
      <c r="F58" s="580" t="str">
        <f t="shared" si="1"/>
        <v/>
      </c>
      <c r="G58" s="591" t="str">
        <f t="shared" si="5"/>
        <v/>
      </c>
      <c r="H58" s="551" t="str">
        <f>IF(C58="","",IF(OR($D$9=2,$D$9=8),IF(AND(D$7&gt;0,ROUNDDOWN($D$14/6,0)&gt;=7),7,""),""))</f>
        <v/>
      </c>
      <c r="I58" s="604" t="str">
        <f t="shared" si="6"/>
        <v/>
      </c>
      <c r="J58" s="574" t="str">
        <f t="shared" si="7"/>
        <v/>
      </c>
      <c r="K58" s="580" t="str">
        <f t="shared" si="2"/>
        <v/>
      </c>
      <c r="L58" s="591" t="str">
        <f>IF(OR(L57=0,L57=""),"",IF(AND(H58="",C58=""),"",IF(COUNT(H55:H60)&gt;0,L57-IF(I58="",0,I58),"")))</f>
        <v/>
      </c>
    </row>
    <row r="59" spans="2:12">
      <c r="B59" s="540">
        <v>41</v>
      </c>
      <c r="C59" s="551" t="str">
        <f t="shared" si="0"/>
        <v/>
      </c>
      <c r="D59" s="565" t="str">
        <f t="shared" si="3"/>
        <v/>
      </c>
      <c r="E59" s="574" t="str">
        <f t="shared" si="4"/>
        <v/>
      </c>
      <c r="F59" s="580" t="str">
        <f t="shared" si="1"/>
        <v/>
      </c>
      <c r="G59" s="591" t="str">
        <f t="shared" si="5"/>
        <v/>
      </c>
      <c r="H59" s="551" t="str">
        <f>IF(C59="","",IF(OR($D$9=1,$D$9=7),IF(AND(D$7&gt;0,ROUNDDOWN($D$14/6,0)&gt;=7),7,""),""))</f>
        <v/>
      </c>
      <c r="I59" s="604" t="str">
        <f t="shared" si="6"/>
        <v/>
      </c>
      <c r="J59" s="574" t="str">
        <f t="shared" si="7"/>
        <v/>
      </c>
      <c r="K59" s="580" t="str">
        <f t="shared" si="2"/>
        <v/>
      </c>
      <c r="L59" s="591" t="str">
        <f>IF(OR(L58=0,L58=""),"",IF(AND(H59="",C59=""),"",IF(COUNT(H55:H60)&gt;0,L58-IF(I59="",0,I59),"")))</f>
        <v/>
      </c>
    </row>
    <row r="60" spans="2:12">
      <c r="B60" s="540">
        <v>42</v>
      </c>
      <c r="C60" s="552" t="str">
        <f t="shared" si="0"/>
        <v/>
      </c>
      <c r="D60" s="566" t="str">
        <f t="shared" si="3"/>
        <v/>
      </c>
      <c r="E60" s="575" t="str">
        <f t="shared" si="4"/>
        <v/>
      </c>
      <c r="F60" s="581" t="str">
        <f t="shared" si="1"/>
        <v/>
      </c>
      <c r="G60" s="592" t="str">
        <f t="shared" si="5"/>
        <v/>
      </c>
      <c r="H60" s="552" t="str">
        <f>IF(C60="","",IF(OR($D$9=12,$D$9=6),IF(AND(D$7&gt;0,ROUNDDOWN($D$14/6,0)&gt;=7),7,""),""))</f>
        <v/>
      </c>
      <c r="I60" s="605" t="str">
        <f t="shared" si="6"/>
        <v/>
      </c>
      <c r="J60" s="575" t="str">
        <f t="shared" si="7"/>
        <v/>
      </c>
      <c r="K60" s="581" t="str">
        <f t="shared" si="2"/>
        <v/>
      </c>
      <c r="L60" s="592" t="str">
        <f>IF(OR(L59=0,L59=""),"",IF(AND(H60="",C60=""),"",IF(COUNT(H55:H60)&gt;0,L59-IF(I60="",0,I60),"")))</f>
        <v/>
      </c>
    </row>
    <row r="61" spans="2:12">
      <c r="B61" s="540">
        <v>43</v>
      </c>
      <c r="C61" s="551" t="str">
        <f t="shared" si="0"/>
        <v/>
      </c>
      <c r="D61" s="565" t="str">
        <f t="shared" si="3"/>
        <v/>
      </c>
      <c r="E61" s="574" t="str">
        <f t="shared" si="4"/>
        <v/>
      </c>
      <c r="F61" s="580" t="str">
        <f t="shared" si="1"/>
        <v/>
      </c>
      <c r="G61" s="591" t="str">
        <f t="shared" si="5"/>
        <v/>
      </c>
      <c r="H61" s="551" t="str">
        <f>IF(C61="","",IF(OR($D$9=5,$D$9=11),IF(AND(D$7&gt;0,ROUNDDOWN($D$14/6,0)&gt;=8),8,""),""))</f>
        <v/>
      </c>
      <c r="I61" s="603" t="str">
        <f t="shared" si="6"/>
        <v/>
      </c>
      <c r="J61" s="574" t="str">
        <f t="shared" si="7"/>
        <v/>
      </c>
      <c r="K61" s="582" t="str">
        <f t="shared" si="2"/>
        <v/>
      </c>
      <c r="L61" s="593" t="str">
        <f>IF(OR(L60=0,L60=""),"",IF(AND(H61="",C61=""),"",IF(COUNT(H61:H66)&gt;0,L60-IF(I61="",0,I61),"")))</f>
        <v/>
      </c>
    </row>
    <row r="62" spans="2:12">
      <c r="B62" s="540">
        <v>44</v>
      </c>
      <c r="C62" s="551" t="str">
        <f t="shared" si="0"/>
        <v/>
      </c>
      <c r="D62" s="565" t="str">
        <f t="shared" si="3"/>
        <v/>
      </c>
      <c r="E62" s="574" t="str">
        <f t="shared" si="4"/>
        <v/>
      </c>
      <c r="F62" s="580" t="str">
        <f t="shared" si="1"/>
        <v/>
      </c>
      <c r="G62" s="591" t="str">
        <f t="shared" si="5"/>
        <v/>
      </c>
      <c r="H62" s="551" t="str">
        <f>IF(C62="","",IF(OR($D$9=4,$D$9=10),IF(AND(D$7&gt;0,ROUNDDOWN($D$14/6,0)&gt;=8),8,""),""))</f>
        <v/>
      </c>
      <c r="I62" s="604" t="str">
        <f t="shared" si="6"/>
        <v/>
      </c>
      <c r="J62" s="574" t="str">
        <f t="shared" si="7"/>
        <v/>
      </c>
      <c r="K62" s="580" t="str">
        <f t="shared" si="2"/>
        <v/>
      </c>
      <c r="L62" s="591" t="str">
        <f>IF(OR(L61=0,L61=""),"",IF(AND(H62="",C62=""),"",IF(COUNT(H61:H66)&gt;0,L61-IF(I62="",0,I62),"")))</f>
        <v/>
      </c>
    </row>
    <row r="63" spans="2:12">
      <c r="B63" s="540">
        <v>45</v>
      </c>
      <c r="C63" s="551" t="str">
        <f t="shared" si="0"/>
        <v/>
      </c>
      <c r="D63" s="565" t="str">
        <f t="shared" si="3"/>
        <v/>
      </c>
      <c r="E63" s="574" t="str">
        <f t="shared" si="4"/>
        <v/>
      </c>
      <c r="F63" s="580" t="str">
        <f t="shared" si="1"/>
        <v/>
      </c>
      <c r="G63" s="591" t="str">
        <f t="shared" si="5"/>
        <v/>
      </c>
      <c r="H63" s="551" t="str">
        <f>IF(C63="","",IF(OR($D$9=3,$D$9=9),IF(AND(D$7&gt;0,ROUNDDOWN($D$14/6,0)&gt;=8),8,""),""))</f>
        <v/>
      </c>
      <c r="I63" s="604" t="str">
        <f t="shared" si="6"/>
        <v/>
      </c>
      <c r="J63" s="574" t="str">
        <f t="shared" si="7"/>
        <v/>
      </c>
      <c r="K63" s="580" t="str">
        <f t="shared" si="2"/>
        <v/>
      </c>
      <c r="L63" s="591" t="str">
        <f>IF(OR(L62=0,L62=""),"",IF(AND(H63="",C63=""),"",IF(COUNT(H61:H66)&gt;0,L62-IF(I63="",0,I63),"")))</f>
        <v/>
      </c>
    </row>
    <row r="64" spans="2:12">
      <c r="B64" s="540">
        <v>46</v>
      </c>
      <c r="C64" s="551" t="str">
        <f t="shared" si="0"/>
        <v/>
      </c>
      <c r="D64" s="565" t="str">
        <f t="shared" si="3"/>
        <v/>
      </c>
      <c r="E64" s="574" t="str">
        <f t="shared" si="4"/>
        <v/>
      </c>
      <c r="F64" s="580" t="str">
        <f t="shared" si="1"/>
        <v/>
      </c>
      <c r="G64" s="591" t="str">
        <f t="shared" si="5"/>
        <v/>
      </c>
      <c r="H64" s="551" t="str">
        <f>IF(C64="","",IF(OR($D$9=2,$D$9=8),IF(AND(D$7&gt;0,ROUNDDOWN($D$14/6,0)&gt;=8),8,""),""))</f>
        <v/>
      </c>
      <c r="I64" s="604" t="str">
        <f t="shared" si="6"/>
        <v/>
      </c>
      <c r="J64" s="574" t="str">
        <f t="shared" si="7"/>
        <v/>
      </c>
      <c r="K64" s="580" t="str">
        <f t="shared" si="2"/>
        <v/>
      </c>
      <c r="L64" s="591" t="str">
        <f>IF(OR(L63=0,L63=""),"",IF(AND(H64="",C64=""),"",IF(COUNT(H61:H66)&gt;0,L63-IF(I64="",0,I64),"")))</f>
        <v/>
      </c>
    </row>
    <row r="65" spans="2:12">
      <c r="B65" s="540">
        <v>47</v>
      </c>
      <c r="C65" s="551" t="str">
        <f t="shared" si="0"/>
        <v/>
      </c>
      <c r="D65" s="565" t="str">
        <f t="shared" si="3"/>
        <v/>
      </c>
      <c r="E65" s="574" t="str">
        <f t="shared" si="4"/>
        <v/>
      </c>
      <c r="F65" s="580" t="str">
        <f t="shared" si="1"/>
        <v/>
      </c>
      <c r="G65" s="591" t="str">
        <f t="shared" si="5"/>
        <v/>
      </c>
      <c r="H65" s="551" t="str">
        <f>IF(C65="","",IF(OR($D$9=1,$D$9=7),IF(AND(D$7&gt;0,ROUNDDOWN($D$14/6,0)&gt;=8),8,""),""))</f>
        <v/>
      </c>
      <c r="I65" s="604" t="str">
        <f t="shared" si="6"/>
        <v/>
      </c>
      <c r="J65" s="574" t="str">
        <f t="shared" si="7"/>
        <v/>
      </c>
      <c r="K65" s="580" t="str">
        <f t="shared" si="2"/>
        <v/>
      </c>
      <c r="L65" s="591" t="str">
        <f>IF(OR(L64=0,L64=""),"",IF(AND(H65="",C65=""),"",IF(COUNT(H61:H66)&gt;0,L64-IF(I65="",0,I65),"")))</f>
        <v/>
      </c>
    </row>
    <row r="66" spans="2:12">
      <c r="B66" s="540">
        <v>48</v>
      </c>
      <c r="C66" s="551" t="str">
        <f t="shared" si="0"/>
        <v/>
      </c>
      <c r="D66" s="565" t="str">
        <f t="shared" si="3"/>
        <v/>
      </c>
      <c r="E66" s="574" t="str">
        <f t="shared" si="4"/>
        <v/>
      </c>
      <c r="F66" s="580" t="str">
        <f t="shared" si="1"/>
        <v/>
      </c>
      <c r="G66" s="591" t="str">
        <f t="shared" si="5"/>
        <v/>
      </c>
      <c r="H66" s="551" t="str">
        <f>IF(C66="","",IF(OR($D$9=12,$D$9=6),IF(AND(D$7&gt;0,ROUNDDOWN($D$14/6,0)&gt;=8),8,""),""))</f>
        <v/>
      </c>
      <c r="I66" s="605" t="str">
        <f t="shared" si="6"/>
        <v/>
      </c>
      <c r="J66" s="575" t="str">
        <f t="shared" si="7"/>
        <v/>
      </c>
      <c r="K66" s="581" t="str">
        <f t="shared" si="2"/>
        <v/>
      </c>
      <c r="L66" s="592" t="str">
        <f>IF(OR(L65=0,L65=""),"",IF(AND(H66="",C66=""),"",IF(COUNT(H61:H66)&gt;0,L65-IF(I66="",0,I66),"")))</f>
        <v/>
      </c>
    </row>
    <row r="67" spans="2:12">
      <c r="B67" s="540">
        <v>49</v>
      </c>
      <c r="C67" s="553" t="str">
        <f t="shared" si="0"/>
        <v/>
      </c>
      <c r="D67" s="567" t="str">
        <f t="shared" si="3"/>
        <v/>
      </c>
      <c r="E67" s="576" t="str">
        <f t="shared" si="4"/>
        <v/>
      </c>
      <c r="F67" s="582" t="str">
        <f t="shared" si="1"/>
        <v/>
      </c>
      <c r="G67" s="593" t="str">
        <f t="shared" si="5"/>
        <v/>
      </c>
      <c r="H67" s="553" t="str">
        <f>IF(C67="","",IF(OR($D$9=5,$D$9=11),IF(AND(D$7&gt;0,ROUNDDOWN($D$14/6,0)&gt;=9),9,""),""))</f>
        <v/>
      </c>
      <c r="I67" s="603" t="str">
        <f t="shared" si="6"/>
        <v/>
      </c>
      <c r="J67" s="574" t="str">
        <f t="shared" si="7"/>
        <v/>
      </c>
      <c r="K67" s="582" t="str">
        <f t="shared" si="2"/>
        <v/>
      </c>
      <c r="L67" s="593" t="str">
        <f>IF(OR(L66=0,L66=""),"",IF(AND(H67="",C67=""),"",IF(COUNT(H67:H72)&gt;0,L66-IF(I67="",0,I67),"")))</f>
        <v/>
      </c>
    </row>
    <row r="68" spans="2:12">
      <c r="B68" s="540">
        <v>50</v>
      </c>
      <c r="C68" s="551" t="str">
        <f t="shared" si="0"/>
        <v/>
      </c>
      <c r="D68" s="565" t="str">
        <f t="shared" si="3"/>
        <v/>
      </c>
      <c r="E68" s="574" t="str">
        <f t="shared" si="4"/>
        <v/>
      </c>
      <c r="F68" s="580" t="str">
        <f t="shared" si="1"/>
        <v/>
      </c>
      <c r="G68" s="591" t="str">
        <f t="shared" si="5"/>
        <v/>
      </c>
      <c r="H68" s="551" t="str">
        <f>IF(C68="","",IF(OR($D$9=4,$D$9=10),IF(AND(D$7&gt;0,ROUNDDOWN($D$14/6,0)&gt;=9),9,""),""))</f>
        <v/>
      </c>
      <c r="I68" s="604" t="str">
        <f t="shared" si="6"/>
        <v/>
      </c>
      <c r="J68" s="574" t="str">
        <f t="shared" si="7"/>
        <v/>
      </c>
      <c r="K68" s="580" t="str">
        <f t="shared" si="2"/>
        <v/>
      </c>
      <c r="L68" s="591" t="str">
        <f>IF(OR(L67=0,L67=""),"",IF(AND(H68="",C68=""),"",IF(COUNT(H67:H72)&gt;0,L67-IF(I68="",0,I68),"")))</f>
        <v/>
      </c>
    </row>
    <row r="69" spans="2:12">
      <c r="B69" s="540">
        <v>51</v>
      </c>
      <c r="C69" s="551" t="str">
        <f t="shared" si="0"/>
        <v/>
      </c>
      <c r="D69" s="565" t="str">
        <f t="shared" si="3"/>
        <v/>
      </c>
      <c r="E69" s="574" t="str">
        <f t="shared" si="4"/>
        <v/>
      </c>
      <c r="F69" s="580" t="str">
        <f t="shared" si="1"/>
        <v/>
      </c>
      <c r="G69" s="591" t="str">
        <f t="shared" si="5"/>
        <v/>
      </c>
      <c r="H69" s="551" t="str">
        <f>IF(C69="","",IF(OR($D$9=3,$D$9=9),IF(AND(D$7&gt;0,ROUNDDOWN($D$14/6,0)&gt;=9),9,""),""))</f>
        <v/>
      </c>
      <c r="I69" s="604" t="str">
        <f t="shared" si="6"/>
        <v/>
      </c>
      <c r="J69" s="574" t="str">
        <f t="shared" si="7"/>
        <v/>
      </c>
      <c r="K69" s="580" t="str">
        <f t="shared" si="2"/>
        <v/>
      </c>
      <c r="L69" s="591" t="str">
        <f>IF(OR(L68=0,L68=""),"",IF(AND(H69="",C69=""),"",IF(COUNT(H67:H72)&gt;0,L68-IF(I69="",0,I69),"")))</f>
        <v/>
      </c>
    </row>
    <row r="70" spans="2:12">
      <c r="B70" s="540">
        <v>52</v>
      </c>
      <c r="C70" s="551" t="str">
        <f t="shared" si="0"/>
        <v/>
      </c>
      <c r="D70" s="565" t="str">
        <f t="shared" si="3"/>
        <v/>
      </c>
      <c r="E70" s="574" t="str">
        <f t="shared" si="4"/>
        <v/>
      </c>
      <c r="F70" s="580" t="str">
        <f t="shared" si="1"/>
        <v/>
      </c>
      <c r="G70" s="591" t="str">
        <f t="shared" si="5"/>
        <v/>
      </c>
      <c r="H70" s="551" t="str">
        <f>IF(C70="","",IF(OR($D$9=2,$D$9=8),IF(AND(D$7&gt;0,ROUNDDOWN($D$14/6,0)&gt;=9),9,""),""))</f>
        <v/>
      </c>
      <c r="I70" s="604" t="str">
        <f t="shared" si="6"/>
        <v/>
      </c>
      <c r="J70" s="574" t="str">
        <f t="shared" si="7"/>
        <v/>
      </c>
      <c r="K70" s="580" t="str">
        <f t="shared" si="2"/>
        <v/>
      </c>
      <c r="L70" s="591" t="str">
        <f>IF(OR(L69=0,L69=""),"",IF(AND(H70="",C70=""),"",IF(COUNT(H67:H72)&gt;0,L69-IF(I70="",0,I70),"")))</f>
        <v/>
      </c>
    </row>
    <row r="71" spans="2:12">
      <c r="B71" s="540">
        <v>53</v>
      </c>
      <c r="C71" s="551" t="str">
        <f t="shared" si="0"/>
        <v/>
      </c>
      <c r="D71" s="565" t="str">
        <f t="shared" si="3"/>
        <v/>
      </c>
      <c r="E71" s="574" t="str">
        <f t="shared" si="4"/>
        <v/>
      </c>
      <c r="F71" s="580" t="str">
        <f t="shared" si="1"/>
        <v/>
      </c>
      <c r="G71" s="591" t="str">
        <f t="shared" si="5"/>
        <v/>
      </c>
      <c r="H71" s="551" t="str">
        <f>IF(C71="","",IF(OR($D$9=1,$D$9=7),IF(AND(D$7&gt;0,ROUNDDOWN($D$14/6,0)&gt;=9),9,""),""))</f>
        <v/>
      </c>
      <c r="I71" s="604" t="str">
        <f t="shared" si="6"/>
        <v/>
      </c>
      <c r="J71" s="574" t="str">
        <f t="shared" si="7"/>
        <v/>
      </c>
      <c r="K71" s="580" t="str">
        <f t="shared" si="2"/>
        <v/>
      </c>
      <c r="L71" s="591" t="str">
        <f>IF(OR(L70=0,L70=""),"",IF(AND(H71="",C71=""),"",IF(COUNT(H67:H72)&gt;0,L70-IF(I71="",0,I71),"")))</f>
        <v/>
      </c>
    </row>
    <row r="72" spans="2:12">
      <c r="B72" s="540">
        <v>54</v>
      </c>
      <c r="C72" s="552" t="str">
        <f t="shared" si="0"/>
        <v/>
      </c>
      <c r="D72" s="566" t="str">
        <f t="shared" si="3"/>
        <v/>
      </c>
      <c r="E72" s="575" t="str">
        <f t="shared" si="4"/>
        <v/>
      </c>
      <c r="F72" s="581" t="str">
        <f t="shared" si="1"/>
        <v/>
      </c>
      <c r="G72" s="592" t="str">
        <f t="shared" si="5"/>
        <v/>
      </c>
      <c r="H72" s="552" t="str">
        <f>IF(C72="","",IF(OR($D$9=12,$D$9=6),IF(AND(D$7&gt;0,ROUNDDOWN($D$14/6,0)&gt;=9),9,""),""))</f>
        <v/>
      </c>
      <c r="I72" s="605" t="str">
        <f t="shared" si="6"/>
        <v/>
      </c>
      <c r="J72" s="575" t="str">
        <f t="shared" si="7"/>
        <v/>
      </c>
      <c r="K72" s="581" t="str">
        <f t="shared" si="2"/>
        <v/>
      </c>
      <c r="L72" s="592" t="str">
        <f>IF(OR(L71=0,L71=""),"",IF(AND(H72="",C72=""),"",IF(COUNT(H67:H72)&gt;0,L71-IF(I72="",0,I72),"")))</f>
        <v/>
      </c>
    </row>
    <row r="73" spans="2:12">
      <c r="B73" s="540">
        <v>55</v>
      </c>
      <c r="C73" s="551" t="str">
        <f t="shared" si="0"/>
        <v/>
      </c>
      <c r="D73" s="565" t="str">
        <f t="shared" si="3"/>
        <v/>
      </c>
      <c r="E73" s="574" t="str">
        <f t="shared" si="4"/>
        <v/>
      </c>
      <c r="F73" s="580" t="str">
        <f t="shared" si="1"/>
        <v/>
      </c>
      <c r="G73" s="591" t="str">
        <f t="shared" si="5"/>
        <v/>
      </c>
      <c r="H73" s="551" t="str">
        <f>IF(C73="","",IF(OR($D$9=5,$D$9=11),IF(AND(D$7&gt;0,ROUNDDOWN($D$14/6,0)&gt;=10),10,""),""))</f>
        <v/>
      </c>
      <c r="I73" s="603" t="str">
        <f t="shared" si="6"/>
        <v/>
      </c>
      <c r="J73" s="574" t="str">
        <f t="shared" si="7"/>
        <v/>
      </c>
      <c r="K73" s="582" t="str">
        <f t="shared" si="2"/>
        <v/>
      </c>
      <c r="L73" s="593" t="str">
        <f>IF(OR(L72=0,L72=""),"",IF(AND(H73="",C73=""),"",IF(COUNT(H73:H78)&gt;0,L72-IF(I73="",0,I73),"")))</f>
        <v/>
      </c>
    </row>
    <row r="74" spans="2:12">
      <c r="B74" s="540">
        <v>56</v>
      </c>
      <c r="C74" s="551" t="str">
        <f t="shared" si="0"/>
        <v/>
      </c>
      <c r="D74" s="565" t="str">
        <f t="shared" si="3"/>
        <v/>
      </c>
      <c r="E74" s="574" t="str">
        <f t="shared" si="4"/>
        <v/>
      </c>
      <c r="F74" s="580" t="str">
        <f t="shared" si="1"/>
        <v/>
      </c>
      <c r="G74" s="591" t="str">
        <f t="shared" si="5"/>
        <v/>
      </c>
      <c r="H74" s="551" t="str">
        <f>IF(C74="","",IF(OR($D$9=4,$D$9=10),IF(AND(D$7&gt;0,ROUNDDOWN($D$14/6,0)&gt;=10),10,""),""))</f>
        <v/>
      </c>
      <c r="I74" s="604" t="str">
        <f t="shared" si="6"/>
        <v/>
      </c>
      <c r="J74" s="574" t="str">
        <f t="shared" si="7"/>
        <v/>
      </c>
      <c r="K74" s="580" t="str">
        <f t="shared" si="2"/>
        <v/>
      </c>
      <c r="L74" s="591" t="str">
        <f>IF(OR(L73=0,L73=""),"",IF(AND(H74="",C74=""),"",IF(COUNT(H73:H78)&gt;0,L73-IF(I74="",0,I74),"")))</f>
        <v/>
      </c>
    </row>
    <row r="75" spans="2:12">
      <c r="B75" s="540">
        <v>57</v>
      </c>
      <c r="C75" s="551" t="str">
        <f t="shared" si="0"/>
        <v/>
      </c>
      <c r="D75" s="565" t="str">
        <f t="shared" si="3"/>
        <v/>
      </c>
      <c r="E75" s="574" t="str">
        <f t="shared" si="4"/>
        <v/>
      </c>
      <c r="F75" s="580" t="str">
        <f t="shared" si="1"/>
        <v/>
      </c>
      <c r="G75" s="591" t="str">
        <f t="shared" si="5"/>
        <v/>
      </c>
      <c r="H75" s="551" t="str">
        <f>IF(C75="","",IF(OR($D$9=3,$D$9=9),IF(AND(D$7&gt;0,ROUNDDOWN($D$14/6,0)&gt;=10),10,""),""))</f>
        <v/>
      </c>
      <c r="I75" s="604" t="str">
        <f t="shared" si="6"/>
        <v/>
      </c>
      <c r="J75" s="574" t="str">
        <f t="shared" si="7"/>
        <v/>
      </c>
      <c r="K75" s="580" t="str">
        <f t="shared" si="2"/>
        <v/>
      </c>
      <c r="L75" s="591" t="str">
        <f>IF(OR(L74=0,L74=""),"",IF(AND(H75="",C75=""),"",IF(COUNT(H73:H78)&gt;0,L74-IF(I75="",0,I75),"")))</f>
        <v/>
      </c>
    </row>
    <row r="76" spans="2:12">
      <c r="B76" s="540">
        <v>58</v>
      </c>
      <c r="C76" s="551" t="str">
        <f t="shared" si="0"/>
        <v/>
      </c>
      <c r="D76" s="565" t="str">
        <f t="shared" si="3"/>
        <v/>
      </c>
      <c r="E76" s="574" t="str">
        <f t="shared" si="4"/>
        <v/>
      </c>
      <c r="F76" s="580" t="str">
        <f t="shared" si="1"/>
        <v/>
      </c>
      <c r="G76" s="591" t="str">
        <f t="shared" si="5"/>
        <v/>
      </c>
      <c r="H76" s="551" t="str">
        <f>IF(C76="","",IF(OR($D$9=2,$D$9=8),IF(AND(D$7&gt;0,ROUNDDOWN($D$14/6,0)&gt;=10),10,""),""))</f>
        <v/>
      </c>
      <c r="I76" s="604" t="str">
        <f t="shared" si="6"/>
        <v/>
      </c>
      <c r="J76" s="574" t="str">
        <f t="shared" si="7"/>
        <v/>
      </c>
      <c r="K76" s="580" t="str">
        <f t="shared" si="2"/>
        <v/>
      </c>
      <c r="L76" s="591" t="str">
        <f>IF(OR(L75=0,L75=""),"",IF(AND(H76="",C76=""),"",IF(COUNT(H73:H78)&gt;0,L75-IF(I76="",0,I76),"")))</f>
        <v/>
      </c>
    </row>
    <row r="77" spans="2:12">
      <c r="B77" s="540">
        <v>59</v>
      </c>
      <c r="C77" s="551" t="str">
        <f t="shared" si="0"/>
        <v/>
      </c>
      <c r="D77" s="565" t="str">
        <f t="shared" si="3"/>
        <v/>
      </c>
      <c r="E77" s="574" t="str">
        <f t="shared" si="4"/>
        <v/>
      </c>
      <c r="F77" s="580" t="str">
        <f t="shared" si="1"/>
        <v/>
      </c>
      <c r="G77" s="591" t="str">
        <f t="shared" si="5"/>
        <v/>
      </c>
      <c r="H77" s="551" t="str">
        <f>IF(C77="","",IF(OR($D$9=1,$D$9=7),IF(AND(D$7&gt;0,ROUNDDOWN($D$14/6,0)&gt;=10),10,""),""))</f>
        <v/>
      </c>
      <c r="I77" s="604" t="str">
        <f t="shared" si="6"/>
        <v/>
      </c>
      <c r="J77" s="574" t="str">
        <f t="shared" si="7"/>
        <v/>
      </c>
      <c r="K77" s="580" t="str">
        <f t="shared" si="2"/>
        <v/>
      </c>
      <c r="L77" s="591" t="str">
        <f>IF(OR(L76=0,L76=""),"",IF(AND(H77="",C77=""),"",IF(COUNT(H73:H78)&gt;0,L76-IF(I77="",0,I77),"")))</f>
        <v/>
      </c>
    </row>
    <row r="78" spans="2:12">
      <c r="B78" s="540">
        <v>60</v>
      </c>
      <c r="C78" s="551" t="str">
        <f t="shared" si="0"/>
        <v/>
      </c>
      <c r="D78" s="565" t="str">
        <f t="shared" si="3"/>
        <v/>
      </c>
      <c r="E78" s="574" t="str">
        <f t="shared" si="4"/>
        <v/>
      </c>
      <c r="F78" s="580" t="str">
        <f t="shared" si="1"/>
        <v/>
      </c>
      <c r="G78" s="591" t="str">
        <f t="shared" si="5"/>
        <v/>
      </c>
      <c r="H78" s="551" t="str">
        <f>IF(C78="","",IF(OR($D$9=12,$D$9=6),IF(AND(D$7&gt;0,ROUNDDOWN($D$14/6,0)&gt;=10),10,""),""))</f>
        <v/>
      </c>
      <c r="I78" s="605" t="str">
        <f t="shared" si="6"/>
        <v/>
      </c>
      <c r="J78" s="575" t="str">
        <f t="shared" si="7"/>
        <v/>
      </c>
      <c r="K78" s="581" t="str">
        <f t="shared" si="2"/>
        <v/>
      </c>
      <c r="L78" s="592" t="str">
        <f>IF(OR(L77=0,L77=""),"",IF(AND(H78="",C78=""),"",IF(COUNT(H73:H78)&gt;0,L77-IF(I78="",0,I78),"")))</f>
        <v/>
      </c>
    </row>
    <row r="79" spans="2:12">
      <c r="B79" s="540">
        <v>61</v>
      </c>
      <c r="C79" s="553" t="str">
        <f t="shared" si="0"/>
        <v/>
      </c>
      <c r="D79" s="567" t="str">
        <f t="shared" si="3"/>
        <v/>
      </c>
      <c r="E79" s="576" t="str">
        <f t="shared" si="4"/>
        <v/>
      </c>
      <c r="F79" s="582" t="str">
        <f t="shared" si="1"/>
        <v/>
      </c>
      <c r="G79" s="593" t="str">
        <f t="shared" si="5"/>
        <v/>
      </c>
      <c r="H79" s="553" t="str">
        <f>IF(C79="","",IF(OR($D$9=5,$D$9=11),IF(AND(D$7&gt;0,ROUNDDOWN($D$14/6,0)&gt;=11),11,""),""))</f>
        <v/>
      </c>
      <c r="I79" s="603" t="str">
        <f t="shared" si="6"/>
        <v/>
      </c>
      <c r="J79" s="574" t="str">
        <f t="shared" si="7"/>
        <v/>
      </c>
      <c r="K79" s="582" t="str">
        <f t="shared" si="2"/>
        <v/>
      </c>
      <c r="L79" s="593" t="str">
        <f>IF(OR(L78=0,L78=""),"",IF(AND(H79="",C79=""),"",IF(COUNT(H79:H84)&gt;0,L78-IF(I79="",0,I79),"")))</f>
        <v/>
      </c>
    </row>
    <row r="80" spans="2:12">
      <c r="B80" s="540">
        <v>62</v>
      </c>
      <c r="C80" s="551" t="str">
        <f t="shared" si="0"/>
        <v/>
      </c>
      <c r="D80" s="565" t="str">
        <f t="shared" si="3"/>
        <v/>
      </c>
      <c r="E80" s="574" t="str">
        <f t="shared" si="4"/>
        <v/>
      </c>
      <c r="F80" s="580" t="str">
        <f t="shared" si="1"/>
        <v/>
      </c>
      <c r="G80" s="591" t="str">
        <f t="shared" si="5"/>
        <v/>
      </c>
      <c r="H80" s="551" t="str">
        <f>IF(C80="","",IF(OR($D$9=4,$D$9=10),IF(AND(D$7&gt;0,ROUNDDOWN($D$14/6,0)&gt;=11),11,""),""))</f>
        <v/>
      </c>
      <c r="I80" s="604" t="str">
        <f t="shared" si="6"/>
        <v/>
      </c>
      <c r="J80" s="574" t="str">
        <f t="shared" si="7"/>
        <v/>
      </c>
      <c r="K80" s="580" t="str">
        <f t="shared" si="2"/>
        <v/>
      </c>
      <c r="L80" s="591" t="str">
        <f>IF(OR(L79=0,L79=""),"",IF(AND(H80="",C80=""),"",IF(COUNT(H79:H84)&gt;0,L79-IF(I80="",0,I80),"")))</f>
        <v/>
      </c>
    </row>
    <row r="81" spans="2:12">
      <c r="B81" s="540">
        <v>63</v>
      </c>
      <c r="C81" s="551" t="str">
        <f t="shared" si="0"/>
        <v/>
      </c>
      <c r="D81" s="565" t="str">
        <f t="shared" si="3"/>
        <v/>
      </c>
      <c r="E81" s="574" t="str">
        <f t="shared" si="4"/>
        <v/>
      </c>
      <c r="F81" s="580" t="str">
        <f t="shared" si="1"/>
        <v/>
      </c>
      <c r="G81" s="591" t="str">
        <f t="shared" si="5"/>
        <v/>
      </c>
      <c r="H81" s="551" t="str">
        <f>IF(C81="","",IF(OR($D$9=3,$D$9=9),IF(AND(D$7&gt;0,ROUNDDOWN($D$14/6,0)&gt;=11),11,""),""))</f>
        <v/>
      </c>
      <c r="I81" s="604" t="str">
        <f t="shared" si="6"/>
        <v/>
      </c>
      <c r="J81" s="574" t="str">
        <f t="shared" si="7"/>
        <v/>
      </c>
      <c r="K81" s="580" t="str">
        <f t="shared" si="2"/>
        <v/>
      </c>
      <c r="L81" s="591" t="str">
        <f>IF(OR(L80=0,L80=""),"",IF(AND(H81="",C81=""),"",IF(COUNT(H79:H84)&gt;0,L80-IF(I81="",0,I81),"")))</f>
        <v/>
      </c>
    </row>
    <row r="82" spans="2:12">
      <c r="B82" s="540">
        <v>64</v>
      </c>
      <c r="C82" s="551" t="str">
        <f t="shared" si="0"/>
        <v/>
      </c>
      <c r="D82" s="565" t="str">
        <f t="shared" si="3"/>
        <v/>
      </c>
      <c r="E82" s="574" t="str">
        <f t="shared" si="4"/>
        <v/>
      </c>
      <c r="F82" s="580" t="str">
        <f t="shared" si="1"/>
        <v/>
      </c>
      <c r="G82" s="591" t="str">
        <f t="shared" si="5"/>
        <v/>
      </c>
      <c r="H82" s="551" t="str">
        <f>IF(C82="","",IF(OR($D$9=2,$D$9=8),IF(AND(D$7&gt;0,ROUNDDOWN($D$14/6,0)&gt;=11),11,""),""))</f>
        <v/>
      </c>
      <c r="I82" s="604" t="str">
        <f t="shared" si="6"/>
        <v/>
      </c>
      <c r="J82" s="574" t="str">
        <f t="shared" si="7"/>
        <v/>
      </c>
      <c r="K82" s="580" t="str">
        <f t="shared" si="2"/>
        <v/>
      </c>
      <c r="L82" s="591" t="str">
        <f>IF(OR(L81=0,L81=""),"",IF(AND(H82="",C82=""),"",IF(COUNT(H79:H84)&gt;0,L81-IF(I82="",0,I82),"")))</f>
        <v/>
      </c>
    </row>
    <row r="83" spans="2:12">
      <c r="B83" s="540">
        <v>65</v>
      </c>
      <c r="C83" s="551" t="str">
        <f t="shared" ref="C83:C146" si="8">IF($D$14&gt;=B83,B83,"")</f>
        <v/>
      </c>
      <c r="D83" s="565" t="str">
        <f t="shared" si="3"/>
        <v/>
      </c>
      <c r="E83" s="574" t="str">
        <f t="shared" si="4"/>
        <v/>
      </c>
      <c r="F83" s="580" t="str">
        <f t="shared" ref="F83:F146" si="9">IF(C83="","",D83+E83)</f>
        <v/>
      </c>
      <c r="G83" s="591" t="str">
        <f t="shared" si="5"/>
        <v/>
      </c>
      <c r="H83" s="551" t="str">
        <f>IF(C83="","",IF(OR($D$9=1,$D$9=7),IF(AND(D$7&gt;0,ROUNDDOWN($D$14/6,0)&gt;=11),11,""),""))</f>
        <v/>
      </c>
      <c r="I83" s="604" t="str">
        <f t="shared" si="6"/>
        <v/>
      </c>
      <c r="J83" s="574" t="str">
        <f t="shared" si="7"/>
        <v/>
      </c>
      <c r="K83" s="580" t="str">
        <f t="shared" ref="K83:K146" si="10">IF(H83="","",I83+J83)</f>
        <v/>
      </c>
      <c r="L83" s="591" t="str">
        <f>IF(OR(L82=0,L82=""),"",IF(AND(H83="",C83=""),"",IF(COUNT(H79:H84)&gt;0,L82-IF(I83="",0,I83),"")))</f>
        <v/>
      </c>
    </row>
    <row r="84" spans="2:12">
      <c r="B84" s="540">
        <v>66</v>
      </c>
      <c r="C84" s="552" t="str">
        <f t="shared" si="8"/>
        <v/>
      </c>
      <c r="D84" s="566" t="str">
        <f t="shared" ref="D84:D147" si="11">IF(C84="","",IF(C84=$D$14,G83,ROUNDDOWN($D$8/$D$14,0)))</f>
        <v/>
      </c>
      <c r="E84" s="575" t="str">
        <f t="shared" ref="E84:E147" si="12">IF(C84="","",ROUNDDOWN(G83*$D$13,0))</f>
        <v/>
      </c>
      <c r="F84" s="581" t="str">
        <f t="shared" si="9"/>
        <v/>
      </c>
      <c r="G84" s="592" t="str">
        <f t="shared" ref="G84:G147" si="13">IF(C84="","",G83-D84)</f>
        <v/>
      </c>
      <c r="H84" s="552" t="str">
        <f>IF(C84="","",IF(OR($D$9=12,$D$9=6),IF(AND(D$7&gt;0,ROUNDDOWN($D$14/6,0)&gt;=11),11,""),""))</f>
        <v/>
      </c>
      <c r="I84" s="605" t="str">
        <f t="shared" ref="I84:I147" si="14">IF(H84="","",IF(H84&gt;0,IF(H90="",L83,ROUNDDOWN($D$7/COUNT(H$19:H$378),0)),""))</f>
        <v/>
      </c>
      <c r="J84" s="575" t="str">
        <f t="shared" si="7"/>
        <v/>
      </c>
      <c r="K84" s="581" t="str">
        <f t="shared" si="10"/>
        <v/>
      </c>
      <c r="L84" s="592" t="str">
        <f>IF(OR(L83=0,L83=""),"",IF(AND(H84="",C84=""),"",IF(COUNT(H79:H84)&gt;0,L83-IF(I84="",0,I84),"")))</f>
        <v/>
      </c>
    </row>
    <row r="85" spans="2:12">
      <c r="B85" s="540">
        <v>67</v>
      </c>
      <c r="C85" s="551" t="str">
        <f t="shared" si="8"/>
        <v/>
      </c>
      <c r="D85" s="565" t="str">
        <f t="shared" si="11"/>
        <v/>
      </c>
      <c r="E85" s="574" t="str">
        <f t="shared" si="12"/>
        <v/>
      </c>
      <c r="F85" s="580" t="str">
        <f t="shared" si="9"/>
        <v/>
      </c>
      <c r="G85" s="591" t="str">
        <f t="shared" si="13"/>
        <v/>
      </c>
      <c r="H85" s="551" t="str">
        <f>IF(C85="","",IF(OR($D$9=5,$D$9=11),IF(AND(D$7&gt;0,ROUNDDOWN($D$14/6,0)&gt;=12),12,""),""))</f>
        <v/>
      </c>
      <c r="I85" s="603" t="str">
        <f t="shared" si="14"/>
        <v/>
      </c>
      <c r="J85" s="574" t="str">
        <f t="shared" si="7"/>
        <v/>
      </c>
      <c r="K85" s="582" t="str">
        <f t="shared" si="10"/>
        <v/>
      </c>
      <c r="L85" s="593" t="str">
        <f>IF(OR(L84=0,L84=""),"",IF(AND(H85="",C85=""),"",IF(COUNT(H85:H90)&gt;0,L84-IF(I85="",0,I85),"")))</f>
        <v/>
      </c>
    </row>
    <row r="86" spans="2:12">
      <c r="B86" s="540">
        <v>68</v>
      </c>
      <c r="C86" s="551" t="str">
        <f t="shared" si="8"/>
        <v/>
      </c>
      <c r="D86" s="565" t="str">
        <f t="shared" si="11"/>
        <v/>
      </c>
      <c r="E86" s="574" t="str">
        <f t="shared" si="12"/>
        <v/>
      </c>
      <c r="F86" s="580" t="str">
        <f t="shared" si="9"/>
        <v/>
      </c>
      <c r="G86" s="591" t="str">
        <f t="shared" si="13"/>
        <v/>
      </c>
      <c r="H86" s="551" t="str">
        <f>IF(C86="","",IF(OR($D$9=4,$D$9=10),IF(AND(D$7&gt;0,ROUNDDOWN($D$14/6,0)&gt;=12),12,""),""))</f>
        <v/>
      </c>
      <c r="I86" s="604" t="str">
        <f t="shared" si="14"/>
        <v/>
      </c>
      <c r="J86" s="574" t="str">
        <f t="shared" si="7"/>
        <v/>
      </c>
      <c r="K86" s="580" t="str">
        <f t="shared" si="10"/>
        <v/>
      </c>
      <c r="L86" s="591" t="str">
        <f>IF(OR(L85=0,L85=""),"",IF(AND(H86="",C86=""),"",IF(COUNT(H85:H90)&gt;0,L85-IF(I86="",0,I86),"")))</f>
        <v/>
      </c>
    </row>
    <row r="87" spans="2:12">
      <c r="B87" s="540">
        <v>69</v>
      </c>
      <c r="C87" s="551" t="str">
        <f t="shared" si="8"/>
        <v/>
      </c>
      <c r="D87" s="565" t="str">
        <f t="shared" si="11"/>
        <v/>
      </c>
      <c r="E87" s="574" t="str">
        <f t="shared" si="12"/>
        <v/>
      </c>
      <c r="F87" s="580" t="str">
        <f t="shared" si="9"/>
        <v/>
      </c>
      <c r="G87" s="591" t="str">
        <f t="shared" si="13"/>
        <v/>
      </c>
      <c r="H87" s="551" t="str">
        <f>IF(C87="","",IF(OR($D$9=3,$D$9=9),IF(AND(D$7&gt;0,ROUNDDOWN($D$14/6,0)&gt;=12),12,""),""))</f>
        <v/>
      </c>
      <c r="I87" s="604" t="str">
        <f t="shared" si="14"/>
        <v/>
      </c>
      <c r="J87" s="574" t="str">
        <f t="shared" si="7"/>
        <v/>
      </c>
      <c r="K87" s="580" t="str">
        <f t="shared" si="10"/>
        <v/>
      </c>
      <c r="L87" s="591" t="str">
        <f>IF(OR(L86=0,L86=""),"",IF(AND(H87="",C87=""),"",IF(COUNT(H85:H90)&gt;0,L86-IF(I87="",0,I87),"")))</f>
        <v/>
      </c>
    </row>
    <row r="88" spans="2:12">
      <c r="B88" s="540">
        <v>70</v>
      </c>
      <c r="C88" s="551" t="str">
        <f t="shared" si="8"/>
        <v/>
      </c>
      <c r="D88" s="565" t="str">
        <f t="shared" si="11"/>
        <v/>
      </c>
      <c r="E88" s="574" t="str">
        <f t="shared" si="12"/>
        <v/>
      </c>
      <c r="F88" s="580" t="str">
        <f t="shared" si="9"/>
        <v/>
      </c>
      <c r="G88" s="591" t="str">
        <f t="shared" si="13"/>
        <v/>
      </c>
      <c r="H88" s="551" t="str">
        <f>IF(C88="","",IF(OR($D$9=2,$D$9=8),IF(AND(D$7&gt;0,ROUNDDOWN($D$14/6,0)&gt;=12),12,""),""))</f>
        <v/>
      </c>
      <c r="I88" s="604" t="str">
        <f t="shared" si="14"/>
        <v/>
      </c>
      <c r="J88" s="574" t="str">
        <f t="shared" si="7"/>
        <v/>
      </c>
      <c r="K88" s="580" t="str">
        <f t="shared" si="10"/>
        <v/>
      </c>
      <c r="L88" s="591" t="str">
        <f>IF(OR(L87=0,L87=""),"",IF(AND(H88="",C88=""),"",IF(COUNT(H85:H90)&gt;0,L87-IF(I88="",0,I88),"")))</f>
        <v/>
      </c>
    </row>
    <row r="89" spans="2:12">
      <c r="B89" s="540">
        <v>71</v>
      </c>
      <c r="C89" s="551" t="str">
        <f t="shared" si="8"/>
        <v/>
      </c>
      <c r="D89" s="565" t="str">
        <f t="shared" si="11"/>
        <v/>
      </c>
      <c r="E89" s="574" t="str">
        <f t="shared" si="12"/>
        <v/>
      </c>
      <c r="F89" s="580" t="str">
        <f t="shared" si="9"/>
        <v/>
      </c>
      <c r="G89" s="591" t="str">
        <f t="shared" si="13"/>
        <v/>
      </c>
      <c r="H89" s="551" t="str">
        <f>IF(C89="","",IF(OR($D$9=1,$D$9=7),IF(AND(D$7&gt;0,ROUNDDOWN($D$14/6,0)&gt;=12),12,""),""))</f>
        <v/>
      </c>
      <c r="I89" s="604" t="str">
        <f t="shared" si="14"/>
        <v/>
      </c>
      <c r="J89" s="574" t="str">
        <f t="shared" ref="J89:J152" si="15">IF(H89="","",ROUNDDOWN(L88*$D$12,0))</f>
        <v/>
      </c>
      <c r="K89" s="580" t="str">
        <f t="shared" si="10"/>
        <v/>
      </c>
      <c r="L89" s="591" t="str">
        <f>IF(OR(L88=0,L88=""),"",IF(AND(H89="",C89=""),"",IF(COUNT(H85:H90)&gt;0,L88-IF(I89="",0,I89),"")))</f>
        <v/>
      </c>
    </row>
    <row r="90" spans="2:12">
      <c r="B90" s="540">
        <v>72</v>
      </c>
      <c r="C90" s="551" t="str">
        <f t="shared" si="8"/>
        <v/>
      </c>
      <c r="D90" s="565" t="str">
        <f t="shared" si="11"/>
        <v/>
      </c>
      <c r="E90" s="574" t="str">
        <f t="shared" si="12"/>
        <v/>
      </c>
      <c r="F90" s="580" t="str">
        <f t="shared" si="9"/>
        <v/>
      </c>
      <c r="G90" s="591" t="str">
        <f t="shared" si="13"/>
        <v/>
      </c>
      <c r="H90" s="551" t="str">
        <f>IF(C90="","",IF(OR($D$9=12,$D$9=6),IF(AND(D$7&gt;0,ROUNDDOWN($D$14/6,0)&gt;=12),12,""),""))</f>
        <v/>
      </c>
      <c r="I90" s="605" t="str">
        <f t="shared" si="14"/>
        <v/>
      </c>
      <c r="J90" s="575" t="str">
        <f t="shared" si="15"/>
        <v/>
      </c>
      <c r="K90" s="581" t="str">
        <f t="shared" si="10"/>
        <v/>
      </c>
      <c r="L90" s="592" t="str">
        <f>IF(OR(L89=0,L89=""),"",IF(AND(H90="",C90=""),"",IF(COUNT(H85:H90)&gt;0,L89-IF(I90="",0,I90),"")))</f>
        <v/>
      </c>
    </row>
    <row r="91" spans="2:12">
      <c r="B91" s="540">
        <v>73</v>
      </c>
      <c r="C91" s="553" t="str">
        <f t="shared" si="8"/>
        <v/>
      </c>
      <c r="D91" s="567" t="str">
        <f t="shared" si="11"/>
        <v/>
      </c>
      <c r="E91" s="576" t="str">
        <f t="shared" si="12"/>
        <v/>
      </c>
      <c r="F91" s="582" t="str">
        <f t="shared" si="9"/>
        <v/>
      </c>
      <c r="G91" s="593" t="str">
        <f t="shared" si="13"/>
        <v/>
      </c>
      <c r="H91" s="553" t="str">
        <f>IF(C91="","",IF(OR($D$9=5,$D$9=11),IF(AND(D$7&gt;0,ROUNDDOWN($D$14/6,0)&gt;=13),13,""),""))</f>
        <v/>
      </c>
      <c r="I91" s="603" t="str">
        <f t="shared" si="14"/>
        <v/>
      </c>
      <c r="J91" s="574" t="str">
        <f t="shared" si="15"/>
        <v/>
      </c>
      <c r="K91" s="582" t="str">
        <f t="shared" si="10"/>
        <v/>
      </c>
      <c r="L91" s="593" t="str">
        <f>IF(OR(L90=0,L90=""),"",IF(AND(H91="",C91=""),"",IF(COUNT(H91:H96)&gt;0,L90-IF(I91="",0,I91),"")))</f>
        <v/>
      </c>
    </row>
    <row r="92" spans="2:12">
      <c r="B92" s="540">
        <v>74</v>
      </c>
      <c r="C92" s="551" t="str">
        <f t="shared" si="8"/>
        <v/>
      </c>
      <c r="D92" s="565" t="str">
        <f t="shared" si="11"/>
        <v/>
      </c>
      <c r="E92" s="574" t="str">
        <f t="shared" si="12"/>
        <v/>
      </c>
      <c r="F92" s="580" t="str">
        <f t="shared" si="9"/>
        <v/>
      </c>
      <c r="G92" s="591" t="str">
        <f t="shared" si="13"/>
        <v/>
      </c>
      <c r="H92" s="551" t="str">
        <f>IF(C92="","",IF(OR($D$9=4,$D$9=10),IF(AND(D$7&gt;0,ROUNDDOWN($D$14/6,0)&gt;=13),13,""),""))</f>
        <v/>
      </c>
      <c r="I92" s="604" t="str">
        <f t="shared" si="14"/>
        <v/>
      </c>
      <c r="J92" s="574" t="str">
        <f t="shared" si="15"/>
        <v/>
      </c>
      <c r="K92" s="580" t="str">
        <f t="shared" si="10"/>
        <v/>
      </c>
      <c r="L92" s="591" t="str">
        <f>IF(OR(L91=0,L91=""),"",IF(AND(H92="",C92=""),"",IF(COUNT(H91:H96)&gt;0,L91-IF(I92="",0,I92),"")))</f>
        <v/>
      </c>
    </row>
    <row r="93" spans="2:12">
      <c r="B93" s="540">
        <v>75</v>
      </c>
      <c r="C93" s="551" t="str">
        <f t="shared" si="8"/>
        <v/>
      </c>
      <c r="D93" s="565" t="str">
        <f t="shared" si="11"/>
        <v/>
      </c>
      <c r="E93" s="574" t="str">
        <f t="shared" si="12"/>
        <v/>
      </c>
      <c r="F93" s="580" t="str">
        <f t="shared" si="9"/>
        <v/>
      </c>
      <c r="G93" s="591" t="str">
        <f t="shared" si="13"/>
        <v/>
      </c>
      <c r="H93" s="551" t="str">
        <f>IF(C93="","",IF(OR($D$9=3,$D$9=9),IF(AND(D$7&gt;0,ROUNDDOWN($D$14/6,0)&gt;=13),13,""),""))</f>
        <v/>
      </c>
      <c r="I93" s="604" t="str">
        <f t="shared" si="14"/>
        <v/>
      </c>
      <c r="J93" s="574" t="str">
        <f t="shared" si="15"/>
        <v/>
      </c>
      <c r="K93" s="580" t="str">
        <f t="shared" si="10"/>
        <v/>
      </c>
      <c r="L93" s="591" t="str">
        <f>IF(OR(L92=0,L92=""),"",IF(AND(H93="",C93=""),"",IF(COUNT(H91:H96)&gt;0,L92-IF(I93="",0,I93),"")))</f>
        <v/>
      </c>
    </row>
    <row r="94" spans="2:12">
      <c r="B94" s="540">
        <v>76</v>
      </c>
      <c r="C94" s="551" t="str">
        <f t="shared" si="8"/>
        <v/>
      </c>
      <c r="D94" s="565" t="str">
        <f t="shared" si="11"/>
        <v/>
      </c>
      <c r="E94" s="574" t="str">
        <f t="shared" si="12"/>
        <v/>
      </c>
      <c r="F94" s="580" t="str">
        <f t="shared" si="9"/>
        <v/>
      </c>
      <c r="G94" s="591" t="str">
        <f t="shared" si="13"/>
        <v/>
      </c>
      <c r="H94" s="551" t="str">
        <f>IF(C94="","",IF(OR($D$9=2,$D$9=8),IF(AND(D$7&gt;0,ROUNDDOWN($D$14/6,0)&gt;=13),13,""),""))</f>
        <v/>
      </c>
      <c r="I94" s="604" t="str">
        <f t="shared" si="14"/>
        <v/>
      </c>
      <c r="J94" s="574" t="str">
        <f t="shared" si="15"/>
        <v/>
      </c>
      <c r="K94" s="580" t="str">
        <f t="shared" si="10"/>
        <v/>
      </c>
      <c r="L94" s="591" t="str">
        <f>IF(OR(L93=0,L93=""),"",IF(AND(H94="",C94=""),"",IF(COUNT(H91:H96)&gt;0,L93-IF(I94="",0,I94),"")))</f>
        <v/>
      </c>
    </row>
    <row r="95" spans="2:12">
      <c r="B95" s="540">
        <v>77</v>
      </c>
      <c r="C95" s="551" t="str">
        <f t="shared" si="8"/>
        <v/>
      </c>
      <c r="D95" s="565" t="str">
        <f t="shared" si="11"/>
        <v/>
      </c>
      <c r="E95" s="574" t="str">
        <f t="shared" si="12"/>
        <v/>
      </c>
      <c r="F95" s="580" t="str">
        <f t="shared" si="9"/>
        <v/>
      </c>
      <c r="G95" s="591" t="str">
        <f t="shared" si="13"/>
        <v/>
      </c>
      <c r="H95" s="551" t="str">
        <f>IF(C95="","",IF(OR($D$9=1,$D$9=7),IF(AND(D$7&gt;0,ROUNDDOWN($D$14/6,0)&gt;=13),13,""),""))</f>
        <v/>
      </c>
      <c r="I95" s="604" t="str">
        <f t="shared" si="14"/>
        <v/>
      </c>
      <c r="J95" s="574" t="str">
        <f t="shared" si="15"/>
        <v/>
      </c>
      <c r="K95" s="580" t="str">
        <f t="shared" si="10"/>
        <v/>
      </c>
      <c r="L95" s="591" t="str">
        <f>IF(OR(L94=0,L94=""),"",IF(AND(H95="",C95=""),"",IF(COUNT(H91:H96)&gt;0,L94-IF(I95="",0,I95),"")))</f>
        <v/>
      </c>
    </row>
    <row r="96" spans="2:12">
      <c r="B96" s="540">
        <v>78</v>
      </c>
      <c r="C96" s="552" t="str">
        <f t="shared" si="8"/>
        <v/>
      </c>
      <c r="D96" s="566" t="str">
        <f t="shared" si="11"/>
        <v/>
      </c>
      <c r="E96" s="575" t="str">
        <f t="shared" si="12"/>
        <v/>
      </c>
      <c r="F96" s="581" t="str">
        <f t="shared" si="9"/>
        <v/>
      </c>
      <c r="G96" s="592" t="str">
        <f t="shared" si="13"/>
        <v/>
      </c>
      <c r="H96" s="552" t="str">
        <f>IF(C96="","",IF(OR($D$9=12,$D$9=6),IF(AND(D$7&gt;0,ROUNDDOWN($D$14/6,0)&gt;=13),13,""),""))</f>
        <v/>
      </c>
      <c r="I96" s="605" t="str">
        <f t="shared" si="14"/>
        <v/>
      </c>
      <c r="J96" s="575" t="str">
        <f t="shared" si="15"/>
        <v/>
      </c>
      <c r="K96" s="581" t="str">
        <f t="shared" si="10"/>
        <v/>
      </c>
      <c r="L96" s="592" t="str">
        <f>IF(OR(L95=0,L95=""),"",IF(AND(H96="",C96=""),"",IF(COUNT(H91:H96)&gt;0,L95-IF(I96="",0,I96),"")))</f>
        <v/>
      </c>
    </row>
    <row r="97" spans="2:12">
      <c r="B97" s="540">
        <v>79</v>
      </c>
      <c r="C97" s="551" t="str">
        <f t="shared" si="8"/>
        <v/>
      </c>
      <c r="D97" s="565" t="str">
        <f t="shared" si="11"/>
        <v/>
      </c>
      <c r="E97" s="574" t="str">
        <f t="shared" si="12"/>
        <v/>
      </c>
      <c r="F97" s="580" t="str">
        <f t="shared" si="9"/>
        <v/>
      </c>
      <c r="G97" s="591" t="str">
        <f t="shared" si="13"/>
        <v/>
      </c>
      <c r="H97" s="551" t="str">
        <f>IF(C97="","",IF(OR($D$9=5,$D$9=11),IF(AND(D$7&gt;0,ROUNDDOWN($D$14/6,0)&gt;=14),14,""),""))</f>
        <v/>
      </c>
      <c r="I97" s="603" t="str">
        <f t="shared" si="14"/>
        <v/>
      </c>
      <c r="J97" s="574" t="str">
        <f t="shared" si="15"/>
        <v/>
      </c>
      <c r="K97" s="582" t="str">
        <f t="shared" si="10"/>
        <v/>
      </c>
      <c r="L97" s="593" t="str">
        <f>IF(OR(L96=0,L96=""),"",IF(AND(H97="",C97=""),"",IF(COUNT(H97:H102)&gt;0,L96-IF(I97="",0,I97),"")))</f>
        <v/>
      </c>
    </row>
    <row r="98" spans="2:12">
      <c r="B98" s="540">
        <v>80</v>
      </c>
      <c r="C98" s="551" t="str">
        <f t="shared" si="8"/>
        <v/>
      </c>
      <c r="D98" s="565" t="str">
        <f t="shared" si="11"/>
        <v/>
      </c>
      <c r="E98" s="574" t="str">
        <f t="shared" si="12"/>
        <v/>
      </c>
      <c r="F98" s="580" t="str">
        <f t="shared" si="9"/>
        <v/>
      </c>
      <c r="G98" s="591" t="str">
        <f t="shared" si="13"/>
        <v/>
      </c>
      <c r="H98" s="551" t="str">
        <f>IF(C98="","",IF(OR($D$9=4,$D$9=10),IF(AND(D$7&gt;0,ROUNDDOWN($D$14/6,0)&gt;=14),14,""),""))</f>
        <v/>
      </c>
      <c r="I98" s="604" t="str">
        <f t="shared" si="14"/>
        <v/>
      </c>
      <c r="J98" s="574" t="str">
        <f t="shared" si="15"/>
        <v/>
      </c>
      <c r="K98" s="580" t="str">
        <f t="shared" si="10"/>
        <v/>
      </c>
      <c r="L98" s="591" t="str">
        <f>IF(OR(L97=0,L97=""),"",IF(AND(H98="",C98=""),"",IF(COUNT(H97:H102)&gt;0,L97-IF(I98="",0,I98),"")))</f>
        <v/>
      </c>
    </row>
    <row r="99" spans="2:12">
      <c r="B99" s="540">
        <v>81</v>
      </c>
      <c r="C99" s="551" t="str">
        <f t="shared" si="8"/>
        <v/>
      </c>
      <c r="D99" s="565" t="str">
        <f t="shared" si="11"/>
        <v/>
      </c>
      <c r="E99" s="574" t="str">
        <f t="shared" si="12"/>
        <v/>
      </c>
      <c r="F99" s="580" t="str">
        <f t="shared" si="9"/>
        <v/>
      </c>
      <c r="G99" s="591" t="str">
        <f t="shared" si="13"/>
        <v/>
      </c>
      <c r="H99" s="551" t="str">
        <f>IF(C99="","",IF(OR($D$9=3,$D$9=9),IF(AND(D$7&gt;0,ROUNDDOWN($D$14/6,0)&gt;=14),14,""),""))</f>
        <v/>
      </c>
      <c r="I99" s="604" t="str">
        <f t="shared" si="14"/>
        <v/>
      </c>
      <c r="J99" s="574" t="str">
        <f t="shared" si="15"/>
        <v/>
      </c>
      <c r="K99" s="580" t="str">
        <f t="shared" si="10"/>
        <v/>
      </c>
      <c r="L99" s="591" t="str">
        <f>IF(OR(L98=0,L98=""),"",IF(AND(H99="",C99=""),"",IF(COUNT(H97:H102)&gt;0,L98-IF(I99="",0,I99),"")))</f>
        <v/>
      </c>
    </row>
    <row r="100" spans="2:12">
      <c r="B100" s="540">
        <v>82</v>
      </c>
      <c r="C100" s="551" t="str">
        <f t="shared" si="8"/>
        <v/>
      </c>
      <c r="D100" s="565" t="str">
        <f t="shared" si="11"/>
        <v/>
      </c>
      <c r="E100" s="574" t="str">
        <f t="shared" si="12"/>
        <v/>
      </c>
      <c r="F100" s="580" t="str">
        <f t="shared" si="9"/>
        <v/>
      </c>
      <c r="G100" s="591" t="str">
        <f t="shared" si="13"/>
        <v/>
      </c>
      <c r="H100" s="551" t="str">
        <f>IF(C100="","",IF(OR($D$9=2,$D$9=8),IF(AND(D$7&gt;0,ROUNDDOWN($D$14/6,0)&gt;=14),14,""),""))</f>
        <v/>
      </c>
      <c r="I100" s="604" t="str">
        <f t="shared" si="14"/>
        <v/>
      </c>
      <c r="J100" s="574" t="str">
        <f t="shared" si="15"/>
        <v/>
      </c>
      <c r="K100" s="580" t="str">
        <f t="shared" si="10"/>
        <v/>
      </c>
      <c r="L100" s="591" t="str">
        <f>IF(OR(L99=0,L99=""),"",IF(AND(H100="",C100=""),"",IF(COUNT(H97:H102)&gt;0,L99-IF(I100="",0,I100),"")))</f>
        <v/>
      </c>
    </row>
    <row r="101" spans="2:12">
      <c r="B101" s="540">
        <v>83</v>
      </c>
      <c r="C101" s="551" t="str">
        <f t="shared" si="8"/>
        <v/>
      </c>
      <c r="D101" s="565" t="str">
        <f t="shared" si="11"/>
        <v/>
      </c>
      <c r="E101" s="574" t="str">
        <f t="shared" si="12"/>
        <v/>
      </c>
      <c r="F101" s="580" t="str">
        <f t="shared" si="9"/>
        <v/>
      </c>
      <c r="G101" s="591" t="str">
        <f t="shared" si="13"/>
        <v/>
      </c>
      <c r="H101" s="551" t="str">
        <f>IF(C101="","",IF(OR($D$9=1,$D$9=7),IF(AND(D$7&gt;0,ROUNDDOWN($D$14/6,0)&gt;=14),14,""),""))</f>
        <v/>
      </c>
      <c r="I101" s="604" t="str">
        <f t="shared" si="14"/>
        <v/>
      </c>
      <c r="J101" s="574" t="str">
        <f t="shared" si="15"/>
        <v/>
      </c>
      <c r="K101" s="580" t="str">
        <f t="shared" si="10"/>
        <v/>
      </c>
      <c r="L101" s="591" t="str">
        <f>IF(OR(L100=0,L100=""),"",IF(AND(H101="",C101=""),"",IF(COUNT(H97:H102)&gt;0,L100-IF(I101="",0,I101),"")))</f>
        <v/>
      </c>
    </row>
    <row r="102" spans="2:12">
      <c r="B102" s="540">
        <v>84</v>
      </c>
      <c r="C102" s="551" t="str">
        <f t="shared" si="8"/>
        <v/>
      </c>
      <c r="D102" s="565" t="str">
        <f t="shared" si="11"/>
        <v/>
      </c>
      <c r="E102" s="574" t="str">
        <f t="shared" si="12"/>
        <v/>
      </c>
      <c r="F102" s="580" t="str">
        <f t="shared" si="9"/>
        <v/>
      </c>
      <c r="G102" s="591" t="str">
        <f t="shared" si="13"/>
        <v/>
      </c>
      <c r="H102" s="551" t="str">
        <f>IF(C102="","",IF(OR($D$9=12,$D$9=6),IF(AND(D$7&gt;0,ROUNDDOWN($D$14/6,0)&gt;=14),14,""),""))</f>
        <v/>
      </c>
      <c r="I102" s="605" t="str">
        <f t="shared" si="14"/>
        <v/>
      </c>
      <c r="J102" s="575" t="str">
        <f t="shared" si="15"/>
        <v/>
      </c>
      <c r="K102" s="581" t="str">
        <f t="shared" si="10"/>
        <v/>
      </c>
      <c r="L102" s="592" t="str">
        <f>IF(OR(L101=0,L101=""),"",IF(AND(H102="",C102=""),"",IF(COUNT(H97:H102)&gt;0,L101-IF(I102="",0,I102),"")))</f>
        <v/>
      </c>
    </row>
    <row r="103" spans="2:12">
      <c r="B103" s="540">
        <v>85</v>
      </c>
      <c r="C103" s="553" t="str">
        <f t="shared" si="8"/>
        <v/>
      </c>
      <c r="D103" s="567" t="str">
        <f t="shared" si="11"/>
        <v/>
      </c>
      <c r="E103" s="576" t="str">
        <f t="shared" si="12"/>
        <v/>
      </c>
      <c r="F103" s="582" t="str">
        <f t="shared" si="9"/>
        <v/>
      </c>
      <c r="G103" s="593" t="str">
        <f t="shared" si="13"/>
        <v/>
      </c>
      <c r="H103" s="553" t="str">
        <f>IF(C103="","",IF(OR($D$9=5,$D$9=11),IF(AND(D$7&gt;0,ROUNDDOWN($D$14/6,0)&gt;=15),15,""),""))</f>
        <v/>
      </c>
      <c r="I103" s="603" t="str">
        <f t="shared" si="14"/>
        <v/>
      </c>
      <c r="J103" s="574" t="str">
        <f t="shared" si="15"/>
        <v/>
      </c>
      <c r="K103" s="582" t="str">
        <f t="shared" si="10"/>
        <v/>
      </c>
      <c r="L103" s="593" t="str">
        <f>IF(OR(L102=0,L102=""),"",IF(AND(H103="",C103=""),"",IF(COUNT(H103:H108)&gt;0,L102-IF(I103="",0,I103),"")))</f>
        <v/>
      </c>
    </row>
    <row r="104" spans="2:12">
      <c r="B104" s="540">
        <v>86</v>
      </c>
      <c r="C104" s="551" t="str">
        <f t="shared" si="8"/>
        <v/>
      </c>
      <c r="D104" s="565" t="str">
        <f t="shared" si="11"/>
        <v/>
      </c>
      <c r="E104" s="574" t="str">
        <f t="shared" si="12"/>
        <v/>
      </c>
      <c r="F104" s="580" t="str">
        <f t="shared" si="9"/>
        <v/>
      </c>
      <c r="G104" s="591" t="str">
        <f t="shared" si="13"/>
        <v/>
      </c>
      <c r="H104" s="551" t="str">
        <f>IF(C104="","",IF(OR($D$9=4,$D$9=10),IF(AND(D$7&gt;0,ROUNDDOWN($D$14/6,0)&gt;=15),15,""),""))</f>
        <v/>
      </c>
      <c r="I104" s="604" t="str">
        <f t="shared" si="14"/>
        <v/>
      </c>
      <c r="J104" s="574" t="str">
        <f t="shared" si="15"/>
        <v/>
      </c>
      <c r="K104" s="580" t="str">
        <f t="shared" si="10"/>
        <v/>
      </c>
      <c r="L104" s="591" t="str">
        <f>IF(OR(L103=0,L103=""),"",IF(AND(H104="",C104=""),"",IF(COUNT(H103:H108)&gt;0,L103-IF(I104="",0,I104),"")))</f>
        <v/>
      </c>
    </row>
    <row r="105" spans="2:12">
      <c r="B105" s="540">
        <v>87</v>
      </c>
      <c r="C105" s="551" t="str">
        <f t="shared" si="8"/>
        <v/>
      </c>
      <c r="D105" s="565" t="str">
        <f t="shared" si="11"/>
        <v/>
      </c>
      <c r="E105" s="574" t="str">
        <f t="shared" si="12"/>
        <v/>
      </c>
      <c r="F105" s="580" t="str">
        <f t="shared" si="9"/>
        <v/>
      </c>
      <c r="G105" s="591" t="str">
        <f t="shared" si="13"/>
        <v/>
      </c>
      <c r="H105" s="551" t="str">
        <f>IF(C105="","",IF(OR($D$9=3,$D$9=9),IF(AND(D$7&gt;0,ROUNDDOWN($D$14/6,0)&gt;=15),15,""),""))</f>
        <v/>
      </c>
      <c r="I105" s="604" t="str">
        <f t="shared" si="14"/>
        <v/>
      </c>
      <c r="J105" s="574" t="str">
        <f t="shared" si="15"/>
        <v/>
      </c>
      <c r="K105" s="580" t="str">
        <f t="shared" si="10"/>
        <v/>
      </c>
      <c r="L105" s="591" t="str">
        <f>IF(OR(L104=0,L104=""),"",IF(AND(H105="",C105=""),"",IF(COUNT(H103:H108)&gt;0,L104-IF(I105="",0,I105),"")))</f>
        <v/>
      </c>
    </row>
    <row r="106" spans="2:12">
      <c r="B106" s="540">
        <v>88</v>
      </c>
      <c r="C106" s="551" t="str">
        <f t="shared" si="8"/>
        <v/>
      </c>
      <c r="D106" s="565" t="str">
        <f t="shared" si="11"/>
        <v/>
      </c>
      <c r="E106" s="574" t="str">
        <f t="shared" si="12"/>
        <v/>
      </c>
      <c r="F106" s="580" t="str">
        <f t="shared" si="9"/>
        <v/>
      </c>
      <c r="G106" s="591" t="str">
        <f t="shared" si="13"/>
        <v/>
      </c>
      <c r="H106" s="551" t="str">
        <f>IF(C106="","",IF(OR($D$9=2,$D$9=8),IF(AND(D$7&gt;0,ROUNDDOWN($D$14/6,0)&gt;=15),15,""),""))</f>
        <v/>
      </c>
      <c r="I106" s="604" t="str">
        <f t="shared" si="14"/>
        <v/>
      </c>
      <c r="J106" s="574" t="str">
        <f t="shared" si="15"/>
        <v/>
      </c>
      <c r="K106" s="580" t="str">
        <f t="shared" si="10"/>
        <v/>
      </c>
      <c r="L106" s="591" t="str">
        <f>IF(OR(L105=0,L105=""),"",IF(AND(H106="",C106=""),"",IF(COUNT(H103:H108)&gt;0,L105-IF(I106="",0,I106),"")))</f>
        <v/>
      </c>
    </row>
    <row r="107" spans="2:12">
      <c r="B107" s="540">
        <v>89</v>
      </c>
      <c r="C107" s="551" t="str">
        <f t="shared" si="8"/>
        <v/>
      </c>
      <c r="D107" s="565" t="str">
        <f t="shared" si="11"/>
        <v/>
      </c>
      <c r="E107" s="574" t="str">
        <f t="shared" si="12"/>
        <v/>
      </c>
      <c r="F107" s="580" t="str">
        <f t="shared" si="9"/>
        <v/>
      </c>
      <c r="G107" s="591" t="str">
        <f t="shared" si="13"/>
        <v/>
      </c>
      <c r="H107" s="551" t="str">
        <f>IF(C107="","",IF(OR($D$9=1,$D$9=7),IF(AND(D$7&gt;0,ROUNDDOWN($D$14/6,0)&gt;=15),15,""),""))</f>
        <v/>
      </c>
      <c r="I107" s="604" t="str">
        <f t="shared" si="14"/>
        <v/>
      </c>
      <c r="J107" s="574" t="str">
        <f t="shared" si="15"/>
        <v/>
      </c>
      <c r="K107" s="580" t="str">
        <f t="shared" si="10"/>
        <v/>
      </c>
      <c r="L107" s="591" t="str">
        <f>IF(OR(L106=0,L106=""),"",IF(AND(H107="",C107=""),"",IF(COUNT(H103:H108)&gt;0,L106-IF(I107="",0,I107),"")))</f>
        <v/>
      </c>
    </row>
    <row r="108" spans="2:12">
      <c r="B108" s="540">
        <v>90</v>
      </c>
      <c r="C108" s="552" t="str">
        <f t="shared" si="8"/>
        <v/>
      </c>
      <c r="D108" s="566" t="str">
        <f t="shared" si="11"/>
        <v/>
      </c>
      <c r="E108" s="575" t="str">
        <f t="shared" si="12"/>
        <v/>
      </c>
      <c r="F108" s="581" t="str">
        <f t="shared" si="9"/>
        <v/>
      </c>
      <c r="G108" s="592" t="str">
        <f t="shared" si="13"/>
        <v/>
      </c>
      <c r="H108" s="552" t="str">
        <f>IF(C108="","",IF(OR($D$9=12,$D$9=6),IF(AND(D$7&gt;0,ROUNDDOWN($D$14/6,0)&gt;=15),15,""),""))</f>
        <v/>
      </c>
      <c r="I108" s="605" t="str">
        <f t="shared" si="14"/>
        <v/>
      </c>
      <c r="J108" s="575" t="str">
        <f t="shared" si="15"/>
        <v/>
      </c>
      <c r="K108" s="581" t="str">
        <f t="shared" si="10"/>
        <v/>
      </c>
      <c r="L108" s="592" t="str">
        <f>IF(OR(L107=0,L107=""),"",IF(AND(H108="",C108=""),"",IF(COUNT(H103:H108)&gt;0,L107-IF(I108="",0,I108),"")))</f>
        <v/>
      </c>
    </row>
    <row r="109" spans="2:12">
      <c r="B109" s="540">
        <v>91</v>
      </c>
      <c r="C109" s="551" t="str">
        <f t="shared" si="8"/>
        <v/>
      </c>
      <c r="D109" s="565" t="str">
        <f t="shared" si="11"/>
        <v/>
      </c>
      <c r="E109" s="574" t="str">
        <f t="shared" si="12"/>
        <v/>
      </c>
      <c r="F109" s="580" t="str">
        <f t="shared" si="9"/>
        <v/>
      </c>
      <c r="G109" s="591" t="str">
        <f t="shared" si="13"/>
        <v/>
      </c>
      <c r="H109" s="551" t="str">
        <f>IF(C109="","",IF(OR($D$9=5,$D$9=11),IF(AND(D$7&gt;0,ROUNDDOWN($D$14/6,0)&gt;=16),16,""),""))</f>
        <v/>
      </c>
      <c r="I109" s="603" t="str">
        <f t="shared" si="14"/>
        <v/>
      </c>
      <c r="J109" s="574" t="str">
        <f t="shared" si="15"/>
        <v/>
      </c>
      <c r="K109" s="582" t="str">
        <f t="shared" si="10"/>
        <v/>
      </c>
      <c r="L109" s="593" t="str">
        <f>IF(OR(L108=0,L108=""),"",IF(AND(H109="",C109=""),"",IF(COUNT(H109:H114)&gt;0,L108-IF(I109="",0,I109),"")))</f>
        <v/>
      </c>
    </row>
    <row r="110" spans="2:12">
      <c r="B110" s="540">
        <v>92</v>
      </c>
      <c r="C110" s="551" t="str">
        <f t="shared" si="8"/>
        <v/>
      </c>
      <c r="D110" s="565" t="str">
        <f t="shared" si="11"/>
        <v/>
      </c>
      <c r="E110" s="574" t="str">
        <f t="shared" si="12"/>
        <v/>
      </c>
      <c r="F110" s="580" t="str">
        <f t="shared" si="9"/>
        <v/>
      </c>
      <c r="G110" s="591" t="str">
        <f t="shared" si="13"/>
        <v/>
      </c>
      <c r="H110" s="551" t="str">
        <f>IF(C110="","",IF(OR($D$9=4,$D$9=10),IF(AND(D$7&gt;0,ROUNDDOWN($D$14/6,0)&gt;=16),16,""),""))</f>
        <v/>
      </c>
      <c r="I110" s="604" t="str">
        <f t="shared" si="14"/>
        <v/>
      </c>
      <c r="J110" s="574" t="str">
        <f t="shared" si="15"/>
        <v/>
      </c>
      <c r="K110" s="580" t="str">
        <f t="shared" si="10"/>
        <v/>
      </c>
      <c r="L110" s="591" t="str">
        <f>IF(OR(L109=0,L109=""),"",IF(AND(H110="",C110=""),"",IF(COUNT(H109:H114)&gt;0,L109-IF(I110="",0,I110),"")))</f>
        <v/>
      </c>
    </row>
    <row r="111" spans="2:12">
      <c r="B111" s="540">
        <v>93</v>
      </c>
      <c r="C111" s="551" t="str">
        <f t="shared" si="8"/>
        <v/>
      </c>
      <c r="D111" s="565" t="str">
        <f t="shared" si="11"/>
        <v/>
      </c>
      <c r="E111" s="574" t="str">
        <f t="shared" si="12"/>
        <v/>
      </c>
      <c r="F111" s="580" t="str">
        <f t="shared" si="9"/>
        <v/>
      </c>
      <c r="G111" s="591" t="str">
        <f t="shared" si="13"/>
        <v/>
      </c>
      <c r="H111" s="551" t="str">
        <f>IF(C111="","",IF(OR($D$9=3,$D$9=9),IF(AND(D$7&gt;0,ROUNDDOWN($D$14/6,0)&gt;=16),16,""),""))</f>
        <v/>
      </c>
      <c r="I111" s="604" t="str">
        <f t="shared" si="14"/>
        <v/>
      </c>
      <c r="J111" s="574" t="str">
        <f t="shared" si="15"/>
        <v/>
      </c>
      <c r="K111" s="580" t="str">
        <f t="shared" si="10"/>
        <v/>
      </c>
      <c r="L111" s="591" t="str">
        <f>IF(OR(L110=0,L110=""),"",IF(AND(H111="",C111=""),"",IF(COUNT(H109:H114)&gt;0,L110-IF(I111="",0,I111),"")))</f>
        <v/>
      </c>
    </row>
    <row r="112" spans="2:12">
      <c r="B112" s="540">
        <v>94</v>
      </c>
      <c r="C112" s="551" t="str">
        <f t="shared" si="8"/>
        <v/>
      </c>
      <c r="D112" s="565" t="str">
        <f t="shared" si="11"/>
        <v/>
      </c>
      <c r="E112" s="574" t="str">
        <f t="shared" si="12"/>
        <v/>
      </c>
      <c r="F112" s="580" t="str">
        <f t="shared" si="9"/>
        <v/>
      </c>
      <c r="G112" s="591" t="str">
        <f t="shared" si="13"/>
        <v/>
      </c>
      <c r="H112" s="551" t="str">
        <f>IF(C112="","",IF(OR($D$9=2,$D$9=8),IF(AND(D$7&gt;0,ROUNDDOWN($D$14/6,0)&gt;=16),16,""),""))</f>
        <v/>
      </c>
      <c r="I112" s="604" t="str">
        <f t="shared" si="14"/>
        <v/>
      </c>
      <c r="J112" s="574" t="str">
        <f t="shared" si="15"/>
        <v/>
      </c>
      <c r="K112" s="580" t="str">
        <f t="shared" si="10"/>
        <v/>
      </c>
      <c r="L112" s="591" t="str">
        <f>IF(OR(L111=0,L111=""),"",IF(AND(H112="",C112=""),"",IF(COUNT(H109:H114)&gt;0,L111-IF(I112="",0,I112),"")))</f>
        <v/>
      </c>
    </row>
    <row r="113" spans="2:12">
      <c r="B113" s="540">
        <v>95</v>
      </c>
      <c r="C113" s="551" t="str">
        <f t="shared" si="8"/>
        <v/>
      </c>
      <c r="D113" s="565" t="str">
        <f t="shared" si="11"/>
        <v/>
      </c>
      <c r="E113" s="574" t="str">
        <f t="shared" si="12"/>
        <v/>
      </c>
      <c r="F113" s="580" t="str">
        <f t="shared" si="9"/>
        <v/>
      </c>
      <c r="G113" s="591" t="str">
        <f t="shared" si="13"/>
        <v/>
      </c>
      <c r="H113" s="551" t="str">
        <f>IF(C113="","",IF(OR($D$9=1,$D$9=7),IF(AND(D$7&gt;0,ROUNDDOWN($D$14/6,0)&gt;=16),16,""),""))</f>
        <v/>
      </c>
      <c r="I113" s="604" t="str">
        <f t="shared" si="14"/>
        <v/>
      </c>
      <c r="J113" s="574" t="str">
        <f t="shared" si="15"/>
        <v/>
      </c>
      <c r="K113" s="580" t="str">
        <f t="shared" si="10"/>
        <v/>
      </c>
      <c r="L113" s="591" t="str">
        <f>IF(OR(L112=0,L112=""),"",IF(AND(H113="",C113=""),"",IF(COUNT(H109:H114)&gt;0,L112-IF(I113="",0,I113),"")))</f>
        <v/>
      </c>
    </row>
    <row r="114" spans="2:12">
      <c r="B114" s="540">
        <v>96</v>
      </c>
      <c r="C114" s="551" t="str">
        <f t="shared" si="8"/>
        <v/>
      </c>
      <c r="D114" s="565" t="str">
        <f t="shared" si="11"/>
        <v/>
      </c>
      <c r="E114" s="574" t="str">
        <f t="shared" si="12"/>
        <v/>
      </c>
      <c r="F114" s="580" t="str">
        <f t="shared" si="9"/>
        <v/>
      </c>
      <c r="G114" s="591" t="str">
        <f t="shared" si="13"/>
        <v/>
      </c>
      <c r="H114" s="551" t="str">
        <f>IF(C114="","",IF(OR($D$9=12,$D$9=6),IF(AND(D$7&gt;0,ROUNDDOWN($D$14/6,0)&gt;=16),16,""),""))</f>
        <v/>
      </c>
      <c r="I114" s="605" t="str">
        <f t="shared" si="14"/>
        <v/>
      </c>
      <c r="J114" s="575" t="str">
        <f t="shared" si="15"/>
        <v/>
      </c>
      <c r="K114" s="581" t="str">
        <f t="shared" si="10"/>
        <v/>
      </c>
      <c r="L114" s="592" t="str">
        <f>IF(OR(L113=0,L113=""),"",IF(AND(H114="",C114=""),"",IF(COUNT(H109:H114)&gt;0,L113-IF(I114="",0,I114),"")))</f>
        <v/>
      </c>
    </row>
    <row r="115" spans="2:12">
      <c r="B115" s="540">
        <v>97</v>
      </c>
      <c r="C115" s="553" t="str">
        <f t="shared" si="8"/>
        <v/>
      </c>
      <c r="D115" s="567" t="str">
        <f t="shared" si="11"/>
        <v/>
      </c>
      <c r="E115" s="576" t="str">
        <f t="shared" si="12"/>
        <v/>
      </c>
      <c r="F115" s="582" t="str">
        <f t="shared" si="9"/>
        <v/>
      </c>
      <c r="G115" s="593" t="str">
        <f t="shared" si="13"/>
        <v/>
      </c>
      <c r="H115" s="553" t="str">
        <f>IF(C115="","",IF(OR($D$9=5,$D$9=11),IF(AND(D$7&gt;0,ROUNDDOWN($D$14/6,0)&gt;=17),17,""),""))</f>
        <v/>
      </c>
      <c r="I115" s="603" t="str">
        <f t="shared" si="14"/>
        <v/>
      </c>
      <c r="J115" s="574" t="str">
        <f t="shared" si="15"/>
        <v/>
      </c>
      <c r="K115" s="582" t="str">
        <f t="shared" si="10"/>
        <v/>
      </c>
      <c r="L115" s="593" t="str">
        <f>IF(OR(L114=0,L114=""),"",IF(AND(H115="",C115=""),"",IF(COUNT(H115:H120)&gt;0,L114-IF(I115="",0,I115),"")))</f>
        <v/>
      </c>
    </row>
    <row r="116" spans="2:12">
      <c r="B116" s="540">
        <v>98</v>
      </c>
      <c r="C116" s="551" t="str">
        <f t="shared" si="8"/>
        <v/>
      </c>
      <c r="D116" s="565" t="str">
        <f t="shared" si="11"/>
        <v/>
      </c>
      <c r="E116" s="574" t="str">
        <f t="shared" si="12"/>
        <v/>
      </c>
      <c r="F116" s="580" t="str">
        <f t="shared" si="9"/>
        <v/>
      </c>
      <c r="G116" s="591" t="str">
        <f t="shared" si="13"/>
        <v/>
      </c>
      <c r="H116" s="551" t="str">
        <f>IF(C116="","",IF(OR($D$9=4,$D$9=10),IF(AND(D$7&gt;0,ROUNDDOWN($D$14/6,0)&gt;=17),17,""),""))</f>
        <v/>
      </c>
      <c r="I116" s="604" t="str">
        <f t="shared" si="14"/>
        <v/>
      </c>
      <c r="J116" s="574" t="str">
        <f t="shared" si="15"/>
        <v/>
      </c>
      <c r="K116" s="580" t="str">
        <f t="shared" si="10"/>
        <v/>
      </c>
      <c r="L116" s="591" t="str">
        <f>IF(OR(L115=0,L115=""),"",IF(AND(H116="",C116=""),"",IF(COUNT(H115:H120)&gt;0,L115-IF(I116="",0,I116),"")))</f>
        <v/>
      </c>
    </row>
    <row r="117" spans="2:12">
      <c r="B117" s="540">
        <v>99</v>
      </c>
      <c r="C117" s="551" t="str">
        <f t="shared" si="8"/>
        <v/>
      </c>
      <c r="D117" s="565" t="str">
        <f t="shared" si="11"/>
        <v/>
      </c>
      <c r="E117" s="574" t="str">
        <f t="shared" si="12"/>
        <v/>
      </c>
      <c r="F117" s="580" t="str">
        <f t="shared" si="9"/>
        <v/>
      </c>
      <c r="G117" s="591" t="str">
        <f t="shared" si="13"/>
        <v/>
      </c>
      <c r="H117" s="551" t="str">
        <f>IF(C117="","",IF(OR($D$9=3,$D$9=9),IF(AND(D$7&gt;0,ROUNDDOWN($D$14/6,0)&gt;=17),17,""),""))</f>
        <v/>
      </c>
      <c r="I117" s="604" t="str">
        <f t="shared" si="14"/>
        <v/>
      </c>
      <c r="J117" s="574" t="str">
        <f t="shared" si="15"/>
        <v/>
      </c>
      <c r="K117" s="580" t="str">
        <f t="shared" si="10"/>
        <v/>
      </c>
      <c r="L117" s="591" t="str">
        <f>IF(OR(L116=0,L116=""),"",IF(AND(H117="",C117=""),"",IF(COUNT(H115:H120)&gt;0,L116-IF(I117="",0,I117),"")))</f>
        <v/>
      </c>
    </row>
    <row r="118" spans="2:12">
      <c r="B118" s="540">
        <v>100</v>
      </c>
      <c r="C118" s="551" t="str">
        <f t="shared" si="8"/>
        <v/>
      </c>
      <c r="D118" s="565" t="str">
        <f t="shared" si="11"/>
        <v/>
      </c>
      <c r="E118" s="574" t="str">
        <f t="shared" si="12"/>
        <v/>
      </c>
      <c r="F118" s="580" t="str">
        <f t="shared" si="9"/>
        <v/>
      </c>
      <c r="G118" s="591" t="str">
        <f t="shared" si="13"/>
        <v/>
      </c>
      <c r="H118" s="551" t="str">
        <f>IF(C118="","",IF(OR($D$9=2,$D$9=8),IF(AND(D$7&gt;0,ROUNDDOWN($D$14/6,0)&gt;=17),17,""),""))</f>
        <v/>
      </c>
      <c r="I118" s="604" t="str">
        <f t="shared" si="14"/>
        <v/>
      </c>
      <c r="J118" s="574" t="str">
        <f t="shared" si="15"/>
        <v/>
      </c>
      <c r="K118" s="580" t="str">
        <f t="shared" si="10"/>
        <v/>
      </c>
      <c r="L118" s="591" t="str">
        <f>IF(OR(L117=0,L117=""),"",IF(AND(H118="",C118=""),"",IF(COUNT(H115:H120)&gt;0,L117-IF(I118="",0,I118),"")))</f>
        <v/>
      </c>
    </row>
    <row r="119" spans="2:12">
      <c r="B119" s="540">
        <v>101</v>
      </c>
      <c r="C119" s="551" t="str">
        <f t="shared" si="8"/>
        <v/>
      </c>
      <c r="D119" s="565" t="str">
        <f t="shared" si="11"/>
        <v/>
      </c>
      <c r="E119" s="574" t="str">
        <f t="shared" si="12"/>
        <v/>
      </c>
      <c r="F119" s="580" t="str">
        <f t="shared" si="9"/>
        <v/>
      </c>
      <c r="G119" s="591" t="str">
        <f t="shared" si="13"/>
        <v/>
      </c>
      <c r="H119" s="551" t="str">
        <f>IF(C119="","",IF(OR($D$9=1,$D$9=7),IF(AND(D$7&gt;0,ROUNDDOWN($D$14/6,0)&gt;=17),17,""),""))</f>
        <v/>
      </c>
      <c r="I119" s="604" t="str">
        <f t="shared" si="14"/>
        <v/>
      </c>
      <c r="J119" s="574" t="str">
        <f t="shared" si="15"/>
        <v/>
      </c>
      <c r="K119" s="580" t="str">
        <f t="shared" si="10"/>
        <v/>
      </c>
      <c r="L119" s="591" t="str">
        <f>IF(OR(L118=0,L118=""),"",IF(AND(H119="",C119=""),"",IF(COUNT(H115:H120)&gt;0,L118-IF(I119="",0,I119),"")))</f>
        <v/>
      </c>
    </row>
    <row r="120" spans="2:12">
      <c r="B120" s="540">
        <v>102</v>
      </c>
      <c r="C120" s="552" t="str">
        <f t="shared" si="8"/>
        <v/>
      </c>
      <c r="D120" s="566" t="str">
        <f t="shared" si="11"/>
        <v/>
      </c>
      <c r="E120" s="575" t="str">
        <f t="shared" si="12"/>
        <v/>
      </c>
      <c r="F120" s="581" t="str">
        <f t="shared" si="9"/>
        <v/>
      </c>
      <c r="G120" s="592" t="str">
        <f t="shared" si="13"/>
        <v/>
      </c>
      <c r="H120" s="552" t="str">
        <f>IF(C120="","",IF(OR($D$9=12,$D$9=6),IF(AND(D$7&gt;0,ROUNDDOWN($D$14/6,0)&gt;=17),17,""),""))</f>
        <v/>
      </c>
      <c r="I120" s="605" t="str">
        <f t="shared" si="14"/>
        <v/>
      </c>
      <c r="J120" s="575" t="str">
        <f t="shared" si="15"/>
        <v/>
      </c>
      <c r="K120" s="581" t="str">
        <f t="shared" si="10"/>
        <v/>
      </c>
      <c r="L120" s="592" t="str">
        <f>IF(OR(L119=0,L119=""),"",IF(AND(H120="",C120=""),"",IF(COUNT(H115:H120)&gt;0,L119-IF(I120="",0,I120),"")))</f>
        <v/>
      </c>
    </row>
    <row r="121" spans="2:12">
      <c r="B121" s="540">
        <v>103</v>
      </c>
      <c r="C121" s="551" t="str">
        <f t="shared" si="8"/>
        <v/>
      </c>
      <c r="D121" s="565" t="str">
        <f t="shared" si="11"/>
        <v/>
      </c>
      <c r="E121" s="574" t="str">
        <f t="shared" si="12"/>
        <v/>
      </c>
      <c r="F121" s="580" t="str">
        <f t="shared" si="9"/>
        <v/>
      </c>
      <c r="G121" s="591" t="str">
        <f t="shared" si="13"/>
        <v/>
      </c>
      <c r="H121" s="551" t="str">
        <f>IF(C121="","",IF(OR($D$9=5,$D$9=11),IF(AND(D$7&gt;0,ROUNDDOWN($D$14/6,0)&gt;=18),18,""),""))</f>
        <v/>
      </c>
      <c r="I121" s="603" t="str">
        <f t="shared" si="14"/>
        <v/>
      </c>
      <c r="J121" s="574" t="str">
        <f t="shared" si="15"/>
        <v/>
      </c>
      <c r="K121" s="582" t="str">
        <f t="shared" si="10"/>
        <v/>
      </c>
      <c r="L121" s="593" t="str">
        <f>IF(OR(L120=0,L120=""),"",IF(AND(H121="",C121=""),"",IF(COUNT(H121:H126)&gt;0,L120-IF(I121="",0,I121),"")))</f>
        <v/>
      </c>
    </row>
    <row r="122" spans="2:12">
      <c r="B122" s="540">
        <v>104</v>
      </c>
      <c r="C122" s="551" t="str">
        <f t="shared" si="8"/>
        <v/>
      </c>
      <c r="D122" s="565" t="str">
        <f t="shared" si="11"/>
        <v/>
      </c>
      <c r="E122" s="574" t="str">
        <f t="shared" si="12"/>
        <v/>
      </c>
      <c r="F122" s="580" t="str">
        <f t="shared" si="9"/>
        <v/>
      </c>
      <c r="G122" s="591" t="str">
        <f t="shared" si="13"/>
        <v/>
      </c>
      <c r="H122" s="551" t="str">
        <f>IF(C122="","",IF(OR($D$9=4,$D$9=10),IF(AND(D$7&gt;0,ROUNDDOWN($D$14/6,0)&gt;=18),18,""),""))</f>
        <v/>
      </c>
      <c r="I122" s="604" t="str">
        <f t="shared" si="14"/>
        <v/>
      </c>
      <c r="J122" s="574" t="str">
        <f t="shared" si="15"/>
        <v/>
      </c>
      <c r="K122" s="580" t="str">
        <f t="shared" si="10"/>
        <v/>
      </c>
      <c r="L122" s="591" t="str">
        <f>IF(OR(L121=0,L121=""),"",IF(AND(H122="",C122=""),"",IF(COUNT(H121:H126)&gt;0,L121-IF(I122="",0,I122),"")))</f>
        <v/>
      </c>
    </row>
    <row r="123" spans="2:12">
      <c r="B123" s="540">
        <v>105</v>
      </c>
      <c r="C123" s="551" t="str">
        <f t="shared" si="8"/>
        <v/>
      </c>
      <c r="D123" s="565" t="str">
        <f t="shared" si="11"/>
        <v/>
      </c>
      <c r="E123" s="574" t="str">
        <f t="shared" si="12"/>
        <v/>
      </c>
      <c r="F123" s="580" t="str">
        <f t="shared" si="9"/>
        <v/>
      </c>
      <c r="G123" s="591" t="str">
        <f t="shared" si="13"/>
        <v/>
      </c>
      <c r="H123" s="551" t="str">
        <f>IF(C123="","",IF(OR($D$9=3,$D$9=9),IF(AND(D$7&gt;0,ROUNDDOWN($D$14/6,0)&gt;=18),18,""),""))</f>
        <v/>
      </c>
      <c r="I123" s="604" t="str">
        <f t="shared" si="14"/>
        <v/>
      </c>
      <c r="J123" s="574" t="str">
        <f t="shared" si="15"/>
        <v/>
      </c>
      <c r="K123" s="580" t="str">
        <f t="shared" si="10"/>
        <v/>
      </c>
      <c r="L123" s="591" t="str">
        <f>IF(OR(L122=0,L122=""),"",IF(AND(H123="",C123=""),"",IF(COUNT(H121:H126)&gt;0,L122-IF(I123="",0,I123),"")))</f>
        <v/>
      </c>
    </row>
    <row r="124" spans="2:12">
      <c r="B124" s="540">
        <v>106</v>
      </c>
      <c r="C124" s="551" t="str">
        <f t="shared" si="8"/>
        <v/>
      </c>
      <c r="D124" s="565" t="str">
        <f t="shared" si="11"/>
        <v/>
      </c>
      <c r="E124" s="574" t="str">
        <f t="shared" si="12"/>
        <v/>
      </c>
      <c r="F124" s="580" t="str">
        <f t="shared" si="9"/>
        <v/>
      </c>
      <c r="G124" s="591" t="str">
        <f t="shared" si="13"/>
        <v/>
      </c>
      <c r="H124" s="551" t="str">
        <f>IF(C124="","",IF(OR($D$9=2,$D$9=8),IF(AND(D$7&gt;0,ROUNDDOWN($D$14/6,0)&gt;=18),18,""),""))</f>
        <v/>
      </c>
      <c r="I124" s="604" t="str">
        <f t="shared" si="14"/>
        <v/>
      </c>
      <c r="J124" s="574" t="str">
        <f t="shared" si="15"/>
        <v/>
      </c>
      <c r="K124" s="580" t="str">
        <f t="shared" si="10"/>
        <v/>
      </c>
      <c r="L124" s="591" t="str">
        <f>IF(OR(L123=0,L123=""),"",IF(AND(H124="",C124=""),"",IF(COUNT(H121:H126)&gt;0,L123-IF(I124="",0,I124),"")))</f>
        <v/>
      </c>
    </row>
    <row r="125" spans="2:12">
      <c r="B125" s="540">
        <v>107</v>
      </c>
      <c r="C125" s="551" t="str">
        <f t="shared" si="8"/>
        <v/>
      </c>
      <c r="D125" s="565" t="str">
        <f t="shared" si="11"/>
        <v/>
      </c>
      <c r="E125" s="574" t="str">
        <f t="shared" si="12"/>
        <v/>
      </c>
      <c r="F125" s="580" t="str">
        <f t="shared" si="9"/>
        <v/>
      </c>
      <c r="G125" s="591" t="str">
        <f t="shared" si="13"/>
        <v/>
      </c>
      <c r="H125" s="551" t="str">
        <f>IF(C125="","",IF(OR($D$9=1,$D$9=7),IF(AND(D$7&gt;0,ROUNDDOWN($D$14/6,0)&gt;=18),18,""),""))</f>
        <v/>
      </c>
      <c r="I125" s="604" t="str">
        <f t="shared" si="14"/>
        <v/>
      </c>
      <c r="J125" s="574" t="str">
        <f t="shared" si="15"/>
        <v/>
      </c>
      <c r="K125" s="580" t="str">
        <f t="shared" si="10"/>
        <v/>
      </c>
      <c r="L125" s="591" t="str">
        <f>IF(OR(L124=0,L124=""),"",IF(AND(H125="",C125=""),"",IF(COUNT(H121:H126)&gt;0,L124-IF(I125="",0,I125),"")))</f>
        <v/>
      </c>
    </row>
    <row r="126" spans="2:12">
      <c r="B126" s="540">
        <v>108</v>
      </c>
      <c r="C126" s="551" t="str">
        <f t="shared" si="8"/>
        <v/>
      </c>
      <c r="D126" s="565" t="str">
        <f t="shared" si="11"/>
        <v/>
      </c>
      <c r="E126" s="574" t="str">
        <f t="shared" si="12"/>
        <v/>
      </c>
      <c r="F126" s="580" t="str">
        <f t="shared" si="9"/>
        <v/>
      </c>
      <c r="G126" s="591" t="str">
        <f t="shared" si="13"/>
        <v/>
      </c>
      <c r="H126" s="551" t="str">
        <f>IF(C126="","",IF(OR($D$9=12,$D$9=6),IF(AND(D$7&gt;0,ROUNDDOWN($D$14/6,0)&gt;=18),18,""),""))</f>
        <v/>
      </c>
      <c r="I126" s="605" t="str">
        <f t="shared" si="14"/>
        <v/>
      </c>
      <c r="J126" s="575" t="str">
        <f t="shared" si="15"/>
        <v/>
      </c>
      <c r="K126" s="581" t="str">
        <f t="shared" si="10"/>
        <v/>
      </c>
      <c r="L126" s="592" t="str">
        <f>IF(OR(L125=0,L125=""),"",IF(AND(H126="",C126=""),"",IF(COUNT(H121:H126)&gt;0,L125-IF(I126="",0,I126),"")))</f>
        <v/>
      </c>
    </row>
    <row r="127" spans="2:12">
      <c r="B127" s="540">
        <v>109</v>
      </c>
      <c r="C127" s="553" t="str">
        <f t="shared" si="8"/>
        <v/>
      </c>
      <c r="D127" s="567" t="str">
        <f t="shared" si="11"/>
        <v/>
      </c>
      <c r="E127" s="576" t="str">
        <f t="shared" si="12"/>
        <v/>
      </c>
      <c r="F127" s="582" t="str">
        <f t="shared" si="9"/>
        <v/>
      </c>
      <c r="G127" s="593" t="str">
        <f t="shared" si="13"/>
        <v/>
      </c>
      <c r="H127" s="553" t="str">
        <f>IF(C127="","",IF(OR($D$9=5,$D$9=11),IF(AND(D$7&gt;0,ROUNDDOWN($D$14/6,0)&gt;=19),19,""),""))</f>
        <v/>
      </c>
      <c r="I127" s="603" t="str">
        <f t="shared" si="14"/>
        <v/>
      </c>
      <c r="J127" s="574" t="str">
        <f t="shared" si="15"/>
        <v/>
      </c>
      <c r="K127" s="582" t="str">
        <f t="shared" si="10"/>
        <v/>
      </c>
      <c r="L127" s="593" t="str">
        <f>IF(OR(L126=0,L126=""),"",IF(AND(H127="",C127=""),"",IF(COUNT(H127:H132)&gt;0,L126-IF(I127="",0,I127),"")))</f>
        <v/>
      </c>
    </row>
    <row r="128" spans="2:12">
      <c r="B128" s="540">
        <v>110</v>
      </c>
      <c r="C128" s="551" t="str">
        <f t="shared" si="8"/>
        <v/>
      </c>
      <c r="D128" s="565" t="str">
        <f t="shared" si="11"/>
        <v/>
      </c>
      <c r="E128" s="574" t="str">
        <f t="shared" si="12"/>
        <v/>
      </c>
      <c r="F128" s="580" t="str">
        <f t="shared" si="9"/>
        <v/>
      </c>
      <c r="G128" s="591" t="str">
        <f t="shared" si="13"/>
        <v/>
      </c>
      <c r="H128" s="551" t="str">
        <f>IF(C128="","",IF(OR($D$9=4,$D$9=10),IF(AND(D$7&gt;0,ROUNDDOWN($D$14/6,0)&gt;=19),19,""),""))</f>
        <v/>
      </c>
      <c r="I128" s="604" t="str">
        <f t="shared" si="14"/>
        <v/>
      </c>
      <c r="J128" s="574" t="str">
        <f t="shared" si="15"/>
        <v/>
      </c>
      <c r="K128" s="580" t="str">
        <f t="shared" si="10"/>
        <v/>
      </c>
      <c r="L128" s="591" t="str">
        <f>IF(OR(L127=0,L127=""),"",IF(AND(H128="",C128=""),"",IF(COUNT(H127:H132)&gt;0,L127-IF(I128="",0,I128),"")))</f>
        <v/>
      </c>
    </row>
    <row r="129" spans="2:12">
      <c r="B129" s="540">
        <v>111</v>
      </c>
      <c r="C129" s="551" t="str">
        <f t="shared" si="8"/>
        <v/>
      </c>
      <c r="D129" s="565" t="str">
        <f t="shared" si="11"/>
        <v/>
      </c>
      <c r="E129" s="574" t="str">
        <f t="shared" si="12"/>
        <v/>
      </c>
      <c r="F129" s="580" t="str">
        <f t="shared" si="9"/>
        <v/>
      </c>
      <c r="G129" s="591" t="str">
        <f t="shared" si="13"/>
        <v/>
      </c>
      <c r="H129" s="551" t="str">
        <f>IF(C129="","",IF(OR($D$9=3,$D$9=9),IF(AND(D$7&gt;0,ROUNDDOWN($D$14/6,0)&gt;=19),19,""),""))</f>
        <v/>
      </c>
      <c r="I129" s="604" t="str">
        <f t="shared" si="14"/>
        <v/>
      </c>
      <c r="J129" s="574" t="str">
        <f t="shared" si="15"/>
        <v/>
      </c>
      <c r="K129" s="580" t="str">
        <f t="shared" si="10"/>
        <v/>
      </c>
      <c r="L129" s="591" t="str">
        <f>IF(OR(L128=0,L128=""),"",IF(AND(H129="",C129=""),"",IF(COUNT(H127:H132)&gt;0,L128-IF(I129="",0,I129),"")))</f>
        <v/>
      </c>
    </row>
    <row r="130" spans="2:12">
      <c r="B130" s="540">
        <v>112</v>
      </c>
      <c r="C130" s="551" t="str">
        <f t="shared" si="8"/>
        <v/>
      </c>
      <c r="D130" s="565" t="str">
        <f t="shared" si="11"/>
        <v/>
      </c>
      <c r="E130" s="574" t="str">
        <f t="shared" si="12"/>
        <v/>
      </c>
      <c r="F130" s="580" t="str">
        <f t="shared" si="9"/>
        <v/>
      </c>
      <c r="G130" s="591" t="str">
        <f t="shared" si="13"/>
        <v/>
      </c>
      <c r="H130" s="551" t="str">
        <f>IF(C130="","",IF(OR($D$9=2,$D$9=8),IF(AND(D$7&gt;0,ROUNDDOWN($D$14/6,0)&gt;=19),19,""),""))</f>
        <v/>
      </c>
      <c r="I130" s="604" t="str">
        <f t="shared" si="14"/>
        <v/>
      </c>
      <c r="J130" s="574" t="str">
        <f t="shared" si="15"/>
        <v/>
      </c>
      <c r="K130" s="580" t="str">
        <f t="shared" si="10"/>
        <v/>
      </c>
      <c r="L130" s="591" t="str">
        <f>IF(OR(L129=0,L129=""),"",IF(AND(H130="",C130=""),"",IF(COUNT(H127:H132)&gt;0,L129-IF(I130="",0,I130),"")))</f>
        <v/>
      </c>
    </row>
    <row r="131" spans="2:12">
      <c r="B131" s="540">
        <v>113</v>
      </c>
      <c r="C131" s="551" t="str">
        <f t="shared" si="8"/>
        <v/>
      </c>
      <c r="D131" s="565" t="str">
        <f t="shared" si="11"/>
        <v/>
      </c>
      <c r="E131" s="574" t="str">
        <f t="shared" si="12"/>
        <v/>
      </c>
      <c r="F131" s="580" t="str">
        <f t="shared" si="9"/>
        <v/>
      </c>
      <c r="G131" s="591" t="str">
        <f t="shared" si="13"/>
        <v/>
      </c>
      <c r="H131" s="551" t="str">
        <f>IF(C131="","",IF(OR($D$9=1,$D$9=7),IF(AND(D$7&gt;0,ROUNDDOWN($D$14/6,0)&gt;=19),19,""),""))</f>
        <v/>
      </c>
      <c r="I131" s="604" t="str">
        <f t="shared" si="14"/>
        <v/>
      </c>
      <c r="J131" s="574" t="str">
        <f t="shared" si="15"/>
        <v/>
      </c>
      <c r="K131" s="580" t="str">
        <f t="shared" si="10"/>
        <v/>
      </c>
      <c r="L131" s="591" t="str">
        <f>IF(OR(L130=0,L130=""),"",IF(AND(H131="",C131=""),"",IF(COUNT(H127:H132)&gt;0,L130-IF(I131="",0,I131),"")))</f>
        <v/>
      </c>
    </row>
    <row r="132" spans="2:12">
      <c r="B132" s="540">
        <v>114</v>
      </c>
      <c r="C132" s="552" t="str">
        <f t="shared" si="8"/>
        <v/>
      </c>
      <c r="D132" s="566" t="str">
        <f t="shared" si="11"/>
        <v/>
      </c>
      <c r="E132" s="575" t="str">
        <f t="shared" si="12"/>
        <v/>
      </c>
      <c r="F132" s="581" t="str">
        <f t="shared" si="9"/>
        <v/>
      </c>
      <c r="G132" s="592" t="str">
        <f t="shared" si="13"/>
        <v/>
      </c>
      <c r="H132" s="552" t="str">
        <f>IF(C132="","",IF(OR($D$9=12,$D$9=6),IF(AND(D$7&gt;0,ROUNDDOWN($D$14/6,0)&gt;=19),19,""),""))</f>
        <v/>
      </c>
      <c r="I132" s="605" t="str">
        <f t="shared" si="14"/>
        <v/>
      </c>
      <c r="J132" s="575" t="str">
        <f t="shared" si="15"/>
        <v/>
      </c>
      <c r="K132" s="581" t="str">
        <f t="shared" si="10"/>
        <v/>
      </c>
      <c r="L132" s="592" t="str">
        <f>IF(OR(L131=0,L131=""),"",IF(AND(H132="",C132=""),"",IF(COUNT(H127:H132)&gt;0,L131-IF(I132="",0,I132),"")))</f>
        <v/>
      </c>
    </row>
    <row r="133" spans="2:12">
      <c r="B133" s="540">
        <v>115</v>
      </c>
      <c r="C133" s="551" t="str">
        <f t="shared" si="8"/>
        <v/>
      </c>
      <c r="D133" s="565" t="str">
        <f t="shared" si="11"/>
        <v/>
      </c>
      <c r="E133" s="574" t="str">
        <f t="shared" si="12"/>
        <v/>
      </c>
      <c r="F133" s="580" t="str">
        <f t="shared" si="9"/>
        <v/>
      </c>
      <c r="G133" s="591" t="str">
        <f t="shared" si="13"/>
        <v/>
      </c>
      <c r="H133" s="551" t="str">
        <f>IF(C133="","",IF(OR($D$9=5,$D$9=11),IF(AND(D$7&gt;0,ROUNDDOWN($D$14/6,0)&gt;=20),20,""),""))</f>
        <v/>
      </c>
      <c r="I133" s="603" t="str">
        <f t="shared" si="14"/>
        <v/>
      </c>
      <c r="J133" s="574" t="str">
        <f t="shared" si="15"/>
        <v/>
      </c>
      <c r="K133" s="582" t="str">
        <f t="shared" si="10"/>
        <v/>
      </c>
      <c r="L133" s="593" t="str">
        <f>IF(OR(L132=0,L132=""),"",IF(AND(H133="",C133=""),"",IF(COUNT(H133:H138)&gt;0,L132-IF(I133="",0,I133),"")))</f>
        <v/>
      </c>
    </row>
    <row r="134" spans="2:12">
      <c r="B134" s="540">
        <v>116</v>
      </c>
      <c r="C134" s="551" t="str">
        <f t="shared" si="8"/>
        <v/>
      </c>
      <c r="D134" s="565" t="str">
        <f t="shared" si="11"/>
        <v/>
      </c>
      <c r="E134" s="574" t="str">
        <f t="shared" si="12"/>
        <v/>
      </c>
      <c r="F134" s="580" t="str">
        <f t="shared" si="9"/>
        <v/>
      </c>
      <c r="G134" s="591" t="str">
        <f t="shared" si="13"/>
        <v/>
      </c>
      <c r="H134" s="551" t="str">
        <f>IF(C134="","",IF(OR($D$9=4,$D$9=10),IF(AND(D$7&gt;0,ROUNDDOWN($D$14/6,0)&gt;=20),20,""),""))</f>
        <v/>
      </c>
      <c r="I134" s="604" t="str">
        <f t="shared" si="14"/>
        <v/>
      </c>
      <c r="J134" s="574" t="str">
        <f t="shared" si="15"/>
        <v/>
      </c>
      <c r="K134" s="580" t="str">
        <f t="shared" si="10"/>
        <v/>
      </c>
      <c r="L134" s="591" t="str">
        <f>IF(OR(L133=0,L133=""),"",IF(AND(H134="",C134=""),"",IF(COUNT(H133:H138)&gt;0,L133-IF(I134="",0,I134),"")))</f>
        <v/>
      </c>
    </row>
    <row r="135" spans="2:12">
      <c r="B135" s="540">
        <v>117</v>
      </c>
      <c r="C135" s="551" t="str">
        <f t="shared" si="8"/>
        <v/>
      </c>
      <c r="D135" s="565" t="str">
        <f t="shared" si="11"/>
        <v/>
      </c>
      <c r="E135" s="574" t="str">
        <f t="shared" si="12"/>
        <v/>
      </c>
      <c r="F135" s="580" t="str">
        <f t="shared" si="9"/>
        <v/>
      </c>
      <c r="G135" s="591" t="str">
        <f t="shared" si="13"/>
        <v/>
      </c>
      <c r="H135" s="551" t="str">
        <f>IF(C135="","",IF(OR($D$9=3,$D$9=9),IF(AND(D$7&gt;0,ROUNDDOWN($D$14/6,0)&gt;=20),20,""),""))</f>
        <v/>
      </c>
      <c r="I135" s="604" t="str">
        <f t="shared" si="14"/>
        <v/>
      </c>
      <c r="J135" s="574" t="str">
        <f t="shared" si="15"/>
        <v/>
      </c>
      <c r="K135" s="580" t="str">
        <f t="shared" si="10"/>
        <v/>
      </c>
      <c r="L135" s="591" t="str">
        <f>IF(OR(L134=0,L134=""),"",IF(AND(H135="",C135=""),"",IF(COUNT(H133:H138)&gt;0,L134-IF(I135="",0,I135),"")))</f>
        <v/>
      </c>
    </row>
    <row r="136" spans="2:12">
      <c r="B136" s="540">
        <v>118</v>
      </c>
      <c r="C136" s="551" t="str">
        <f t="shared" si="8"/>
        <v/>
      </c>
      <c r="D136" s="565" t="str">
        <f t="shared" si="11"/>
        <v/>
      </c>
      <c r="E136" s="574" t="str">
        <f t="shared" si="12"/>
        <v/>
      </c>
      <c r="F136" s="580" t="str">
        <f t="shared" si="9"/>
        <v/>
      </c>
      <c r="G136" s="591" t="str">
        <f t="shared" si="13"/>
        <v/>
      </c>
      <c r="H136" s="551" t="str">
        <f>IF(C136="","",IF(OR($D$9=2,$D$9=8),IF(AND(D$7&gt;0,ROUNDDOWN($D$14/6,0)&gt;=20),20,""),""))</f>
        <v/>
      </c>
      <c r="I136" s="604" t="str">
        <f t="shared" si="14"/>
        <v/>
      </c>
      <c r="J136" s="574" t="str">
        <f t="shared" si="15"/>
        <v/>
      </c>
      <c r="K136" s="580" t="str">
        <f t="shared" si="10"/>
        <v/>
      </c>
      <c r="L136" s="591" t="str">
        <f>IF(OR(L135=0,L135=""),"",IF(AND(H136="",C136=""),"",IF(COUNT(H133:H138)&gt;0,L135-IF(I136="",0,I136),"")))</f>
        <v/>
      </c>
    </row>
    <row r="137" spans="2:12">
      <c r="B137" s="540">
        <v>119</v>
      </c>
      <c r="C137" s="551" t="str">
        <f t="shared" si="8"/>
        <v/>
      </c>
      <c r="D137" s="565" t="str">
        <f t="shared" si="11"/>
        <v/>
      </c>
      <c r="E137" s="574" t="str">
        <f t="shared" si="12"/>
        <v/>
      </c>
      <c r="F137" s="580" t="str">
        <f t="shared" si="9"/>
        <v/>
      </c>
      <c r="G137" s="591" t="str">
        <f t="shared" si="13"/>
        <v/>
      </c>
      <c r="H137" s="551" t="str">
        <f>IF(C137="","",IF(OR($D$9=1,$D$9=7),IF(AND(D$7&gt;0,ROUNDDOWN($D$14/6,0)&gt;=20),20,""),""))</f>
        <v/>
      </c>
      <c r="I137" s="604" t="str">
        <f t="shared" si="14"/>
        <v/>
      </c>
      <c r="J137" s="574" t="str">
        <f t="shared" si="15"/>
        <v/>
      </c>
      <c r="K137" s="580" t="str">
        <f t="shared" si="10"/>
        <v/>
      </c>
      <c r="L137" s="591" t="str">
        <f>IF(OR(L136=0,L136=""),"",IF(AND(H137="",C137=""),"",IF(COUNT(H133:H138)&gt;0,L136-IF(I137="",0,I137),"")))</f>
        <v/>
      </c>
    </row>
    <row r="138" spans="2:12">
      <c r="B138" s="540">
        <v>120</v>
      </c>
      <c r="C138" s="551" t="str">
        <f t="shared" si="8"/>
        <v/>
      </c>
      <c r="D138" s="565" t="str">
        <f t="shared" si="11"/>
        <v/>
      </c>
      <c r="E138" s="574" t="str">
        <f t="shared" si="12"/>
        <v/>
      </c>
      <c r="F138" s="580" t="str">
        <f t="shared" si="9"/>
        <v/>
      </c>
      <c r="G138" s="591" t="str">
        <f t="shared" si="13"/>
        <v/>
      </c>
      <c r="H138" s="551" t="str">
        <f>IF(C138="","",IF(OR($D$9=12,$D$9=6),IF(AND(D$7&gt;0,ROUNDDOWN($D$14/6,0)&gt;=20),20,""),""))</f>
        <v/>
      </c>
      <c r="I138" s="605" t="str">
        <f t="shared" si="14"/>
        <v/>
      </c>
      <c r="J138" s="575" t="str">
        <f t="shared" si="15"/>
        <v/>
      </c>
      <c r="K138" s="581" t="str">
        <f t="shared" si="10"/>
        <v/>
      </c>
      <c r="L138" s="592" t="str">
        <f>IF(OR(L137=0,L137=""),"",IF(AND(H138="",C138=""),"",IF(COUNT(H133:H138)&gt;0,L137-IF(I138="",0,I138),"")))</f>
        <v/>
      </c>
    </row>
    <row r="139" spans="2:12">
      <c r="B139" s="540">
        <v>121</v>
      </c>
      <c r="C139" s="553" t="str">
        <f t="shared" si="8"/>
        <v/>
      </c>
      <c r="D139" s="567" t="str">
        <f t="shared" si="11"/>
        <v/>
      </c>
      <c r="E139" s="576" t="str">
        <f t="shared" si="12"/>
        <v/>
      </c>
      <c r="F139" s="582" t="str">
        <f t="shared" si="9"/>
        <v/>
      </c>
      <c r="G139" s="593" t="str">
        <f t="shared" si="13"/>
        <v/>
      </c>
      <c r="H139" s="553" t="str">
        <f>IF(C139="","",IF(OR($D$9=5,$D$9=11),IF(AND(D$7&gt;0,ROUNDDOWN($D$14/6,0)&gt;=21),21,""),""))</f>
        <v/>
      </c>
      <c r="I139" s="603" t="str">
        <f t="shared" si="14"/>
        <v/>
      </c>
      <c r="J139" s="574" t="str">
        <f t="shared" si="15"/>
        <v/>
      </c>
      <c r="K139" s="582" t="str">
        <f t="shared" si="10"/>
        <v/>
      </c>
      <c r="L139" s="593" t="str">
        <f>IF(OR(L138=0,L138=""),"",IF(AND(H139="",C139=""),"",IF(COUNT(H139:H144)&gt;0,L138-IF(I139="",0,I139),"")))</f>
        <v/>
      </c>
    </row>
    <row r="140" spans="2:12">
      <c r="B140" s="540">
        <v>122</v>
      </c>
      <c r="C140" s="551" t="str">
        <f t="shared" si="8"/>
        <v/>
      </c>
      <c r="D140" s="565" t="str">
        <f t="shared" si="11"/>
        <v/>
      </c>
      <c r="E140" s="574" t="str">
        <f t="shared" si="12"/>
        <v/>
      </c>
      <c r="F140" s="580" t="str">
        <f t="shared" si="9"/>
        <v/>
      </c>
      <c r="G140" s="591" t="str">
        <f t="shared" si="13"/>
        <v/>
      </c>
      <c r="H140" s="551" t="str">
        <f>IF(C140="","",IF(OR($D$9=4,$D$9=10),IF(AND(D$7&gt;0,ROUNDDOWN($D$14/6,0)&gt;=21),21,""),""))</f>
        <v/>
      </c>
      <c r="I140" s="604" t="str">
        <f t="shared" si="14"/>
        <v/>
      </c>
      <c r="J140" s="574" t="str">
        <f t="shared" si="15"/>
        <v/>
      </c>
      <c r="K140" s="580" t="str">
        <f t="shared" si="10"/>
        <v/>
      </c>
      <c r="L140" s="591" t="str">
        <f>IF(OR(L139=0,L139=""),"",IF(AND(H140="",C140=""),"",IF(COUNT(H139:H144)&gt;0,L139-IF(I140="",0,I140),"")))</f>
        <v/>
      </c>
    </row>
    <row r="141" spans="2:12">
      <c r="B141" s="540">
        <v>123</v>
      </c>
      <c r="C141" s="551" t="str">
        <f t="shared" si="8"/>
        <v/>
      </c>
      <c r="D141" s="565" t="str">
        <f t="shared" si="11"/>
        <v/>
      </c>
      <c r="E141" s="574" t="str">
        <f t="shared" si="12"/>
        <v/>
      </c>
      <c r="F141" s="580" t="str">
        <f t="shared" si="9"/>
        <v/>
      </c>
      <c r="G141" s="591" t="str">
        <f t="shared" si="13"/>
        <v/>
      </c>
      <c r="H141" s="551" t="str">
        <f>IF(C141="","",IF(OR($D$9=3,$D$9=9),IF(AND(D$7&gt;0,ROUNDDOWN($D$14/6,0)&gt;=21),21,""),""))</f>
        <v/>
      </c>
      <c r="I141" s="604" t="str">
        <f t="shared" si="14"/>
        <v/>
      </c>
      <c r="J141" s="574" t="str">
        <f t="shared" si="15"/>
        <v/>
      </c>
      <c r="K141" s="580" t="str">
        <f t="shared" si="10"/>
        <v/>
      </c>
      <c r="L141" s="591" t="str">
        <f>IF(OR(L140=0,L140=""),"",IF(AND(H141="",C141=""),"",IF(COUNT(H139:H144)&gt;0,L140-IF(I141="",0,I141),"")))</f>
        <v/>
      </c>
    </row>
    <row r="142" spans="2:12">
      <c r="B142" s="540">
        <v>124</v>
      </c>
      <c r="C142" s="551" t="str">
        <f t="shared" si="8"/>
        <v/>
      </c>
      <c r="D142" s="565" t="str">
        <f t="shared" si="11"/>
        <v/>
      </c>
      <c r="E142" s="574" t="str">
        <f t="shared" si="12"/>
        <v/>
      </c>
      <c r="F142" s="580" t="str">
        <f t="shared" si="9"/>
        <v/>
      </c>
      <c r="G142" s="591" t="str">
        <f t="shared" si="13"/>
        <v/>
      </c>
      <c r="H142" s="551" t="str">
        <f>IF(C142="","",IF(OR($D$9=2,$D$9=8),IF(AND(D$7&gt;0,ROUNDDOWN($D$14/6,0)&gt;=21),21,""),""))</f>
        <v/>
      </c>
      <c r="I142" s="604" t="str">
        <f t="shared" si="14"/>
        <v/>
      </c>
      <c r="J142" s="574" t="str">
        <f t="shared" si="15"/>
        <v/>
      </c>
      <c r="K142" s="580" t="str">
        <f t="shared" si="10"/>
        <v/>
      </c>
      <c r="L142" s="591" t="str">
        <f>IF(OR(L141=0,L141=""),"",IF(AND(H142="",C142=""),"",IF(COUNT(H139:H144)&gt;0,L141-IF(I142="",0,I142),"")))</f>
        <v/>
      </c>
    </row>
    <row r="143" spans="2:12">
      <c r="B143" s="540">
        <v>125</v>
      </c>
      <c r="C143" s="551" t="str">
        <f t="shared" si="8"/>
        <v/>
      </c>
      <c r="D143" s="565" t="str">
        <f t="shared" si="11"/>
        <v/>
      </c>
      <c r="E143" s="574" t="str">
        <f t="shared" si="12"/>
        <v/>
      </c>
      <c r="F143" s="580" t="str">
        <f t="shared" si="9"/>
        <v/>
      </c>
      <c r="G143" s="591" t="str">
        <f t="shared" si="13"/>
        <v/>
      </c>
      <c r="H143" s="551" t="str">
        <f>IF(C143="","",IF(OR($D$9=1,$D$9=7),IF(AND(D$7&gt;0,ROUNDDOWN($D$14/6,0)&gt;=21),21,""),""))</f>
        <v/>
      </c>
      <c r="I143" s="604" t="str">
        <f t="shared" si="14"/>
        <v/>
      </c>
      <c r="J143" s="574" t="str">
        <f t="shared" si="15"/>
        <v/>
      </c>
      <c r="K143" s="580" t="str">
        <f t="shared" si="10"/>
        <v/>
      </c>
      <c r="L143" s="591" t="str">
        <f>IF(OR(L142=0,L142=""),"",IF(AND(H143="",C143=""),"",IF(COUNT(H139:H144)&gt;0,L142-IF(I143="",0,I143),"")))</f>
        <v/>
      </c>
    </row>
    <row r="144" spans="2:12">
      <c r="B144" s="540">
        <v>126</v>
      </c>
      <c r="C144" s="552" t="str">
        <f t="shared" si="8"/>
        <v/>
      </c>
      <c r="D144" s="566" t="str">
        <f t="shared" si="11"/>
        <v/>
      </c>
      <c r="E144" s="575" t="str">
        <f t="shared" si="12"/>
        <v/>
      </c>
      <c r="F144" s="581" t="str">
        <f t="shared" si="9"/>
        <v/>
      </c>
      <c r="G144" s="592" t="str">
        <f t="shared" si="13"/>
        <v/>
      </c>
      <c r="H144" s="552" t="str">
        <f>IF(C144="","",IF(OR($D$9=12,$D$9=6),IF(AND(D$7&gt;0,ROUNDDOWN($D$14/6,0)&gt;=21),21,""),""))</f>
        <v/>
      </c>
      <c r="I144" s="605" t="str">
        <f t="shared" si="14"/>
        <v/>
      </c>
      <c r="J144" s="575" t="str">
        <f t="shared" si="15"/>
        <v/>
      </c>
      <c r="K144" s="581" t="str">
        <f t="shared" si="10"/>
        <v/>
      </c>
      <c r="L144" s="592" t="str">
        <f>IF(OR(L143=0,L143=""),"",IF(AND(H144="",C144=""),"",IF(COUNT(H139:H144)&gt;0,L143-IF(I144="",0,I144),"")))</f>
        <v/>
      </c>
    </row>
    <row r="145" spans="2:12">
      <c r="B145" s="540">
        <v>127</v>
      </c>
      <c r="C145" s="551" t="str">
        <f t="shared" si="8"/>
        <v/>
      </c>
      <c r="D145" s="565" t="str">
        <f t="shared" si="11"/>
        <v/>
      </c>
      <c r="E145" s="574" t="str">
        <f t="shared" si="12"/>
        <v/>
      </c>
      <c r="F145" s="580" t="str">
        <f t="shared" si="9"/>
        <v/>
      </c>
      <c r="G145" s="591" t="str">
        <f t="shared" si="13"/>
        <v/>
      </c>
      <c r="H145" s="551" t="str">
        <f>IF(C145="","",IF(OR($D$9=5,$D$9=11),IF(AND(D$7&gt;0,ROUNDDOWN($D$14/6,0)&gt;=22),22,""),""))</f>
        <v/>
      </c>
      <c r="I145" s="603" t="str">
        <f t="shared" si="14"/>
        <v/>
      </c>
      <c r="J145" s="574" t="str">
        <f t="shared" si="15"/>
        <v/>
      </c>
      <c r="K145" s="582" t="str">
        <f t="shared" si="10"/>
        <v/>
      </c>
      <c r="L145" s="593" t="str">
        <f>IF(OR(L144=0,L144=""),"",IF(AND(H145="",C145=""),"",IF(COUNT(H145:H150)&gt;0,L144-IF(I145="",0,I145),"")))</f>
        <v/>
      </c>
    </row>
    <row r="146" spans="2:12">
      <c r="B146" s="540">
        <v>128</v>
      </c>
      <c r="C146" s="551" t="str">
        <f t="shared" si="8"/>
        <v/>
      </c>
      <c r="D146" s="565" t="str">
        <f t="shared" si="11"/>
        <v/>
      </c>
      <c r="E146" s="574" t="str">
        <f t="shared" si="12"/>
        <v/>
      </c>
      <c r="F146" s="580" t="str">
        <f t="shared" si="9"/>
        <v/>
      </c>
      <c r="G146" s="591" t="str">
        <f t="shared" si="13"/>
        <v/>
      </c>
      <c r="H146" s="551" t="str">
        <f>IF(C146="","",IF(OR($D$9=4,$D$9=10),IF(AND(D$7&gt;0,ROUNDDOWN($D$14/6,0)&gt;=22),22,""),""))</f>
        <v/>
      </c>
      <c r="I146" s="604" t="str">
        <f t="shared" si="14"/>
        <v/>
      </c>
      <c r="J146" s="574" t="str">
        <f t="shared" si="15"/>
        <v/>
      </c>
      <c r="K146" s="580" t="str">
        <f t="shared" si="10"/>
        <v/>
      </c>
      <c r="L146" s="591" t="str">
        <f>IF(OR(L145=0,L145=""),"",IF(AND(H146="",C146=""),"",IF(COUNT(H145:H150)&gt;0,L145-IF(I146="",0,I146),"")))</f>
        <v/>
      </c>
    </row>
    <row r="147" spans="2:12">
      <c r="B147" s="540">
        <v>129</v>
      </c>
      <c r="C147" s="551" t="str">
        <f t="shared" ref="C147:C210" si="16">IF($D$14&gt;=B147,B147,"")</f>
        <v/>
      </c>
      <c r="D147" s="565" t="str">
        <f t="shared" si="11"/>
        <v/>
      </c>
      <c r="E147" s="574" t="str">
        <f t="shared" si="12"/>
        <v/>
      </c>
      <c r="F147" s="580" t="str">
        <f t="shared" ref="F147:F210" si="17">IF(C147="","",D147+E147)</f>
        <v/>
      </c>
      <c r="G147" s="591" t="str">
        <f t="shared" si="13"/>
        <v/>
      </c>
      <c r="H147" s="551" t="str">
        <f>IF(C147="","",IF(OR($D$9=3,$D$9=9),IF(AND(D$7&gt;0,ROUNDDOWN($D$14/6,0)&gt;=22),22,""),""))</f>
        <v/>
      </c>
      <c r="I147" s="604" t="str">
        <f t="shared" si="14"/>
        <v/>
      </c>
      <c r="J147" s="574" t="str">
        <f t="shared" si="15"/>
        <v/>
      </c>
      <c r="K147" s="580" t="str">
        <f t="shared" ref="K147:K210" si="18">IF(H147="","",I147+J147)</f>
        <v/>
      </c>
      <c r="L147" s="591" t="str">
        <f>IF(OR(L146=0,L146=""),"",IF(AND(H147="",C147=""),"",IF(COUNT(H145:H150)&gt;0,L146-IF(I147="",0,I147),"")))</f>
        <v/>
      </c>
    </row>
    <row r="148" spans="2:12">
      <c r="B148" s="540">
        <v>130</v>
      </c>
      <c r="C148" s="551" t="str">
        <f t="shared" si="16"/>
        <v/>
      </c>
      <c r="D148" s="565" t="str">
        <f t="shared" ref="D148:D211" si="19">IF(C148="","",IF(C148=$D$14,G147,ROUNDDOWN($D$8/$D$14,0)))</f>
        <v/>
      </c>
      <c r="E148" s="574" t="str">
        <f t="shared" ref="E148:E211" si="20">IF(C148="","",ROUNDDOWN(G147*$D$13,0))</f>
        <v/>
      </c>
      <c r="F148" s="580" t="str">
        <f t="shared" si="17"/>
        <v/>
      </c>
      <c r="G148" s="591" t="str">
        <f t="shared" ref="G148:G211" si="21">IF(C148="","",G147-D148)</f>
        <v/>
      </c>
      <c r="H148" s="551" t="str">
        <f>IF(C148="","",IF(OR($D$9=2,$D$9=8),IF(AND(D$7&gt;0,ROUNDDOWN($D$14/6,0)&gt;=22),22,""),""))</f>
        <v/>
      </c>
      <c r="I148" s="604" t="str">
        <f t="shared" ref="I148:I211" si="22">IF(H148="","",IF(H148&gt;0,IF(H154="",L147,ROUNDDOWN($D$7/COUNT(H$19:H$378),0)),""))</f>
        <v/>
      </c>
      <c r="J148" s="574" t="str">
        <f t="shared" si="15"/>
        <v/>
      </c>
      <c r="K148" s="580" t="str">
        <f t="shared" si="18"/>
        <v/>
      </c>
      <c r="L148" s="591" t="str">
        <f>IF(OR(L147=0,L147=""),"",IF(AND(H148="",C148=""),"",IF(COUNT(H145:H150)&gt;0,L147-IF(I148="",0,I148),"")))</f>
        <v/>
      </c>
    </row>
    <row r="149" spans="2:12">
      <c r="B149" s="540">
        <v>131</v>
      </c>
      <c r="C149" s="551" t="str">
        <f t="shared" si="16"/>
        <v/>
      </c>
      <c r="D149" s="565" t="str">
        <f t="shared" si="19"/>
        <v/>
      </c>
      <c r="E149" s="574" t="str">
        <f t="shared" si="20"/>
        <v/>
      </c>
      <c r="F149" s="580" t="str">
        <f t="shared" si="17"/>
        <v/>
      </c>
      <c r="G149" s="591" t="str">
        <f t="shared" si="21"/>
        <v/>
      </c>
      <c r="H149" s="551" t="str">
        <f>IF(C149="","",IF(OR($D$9=1,$D$9=7),IF(AND(D$7&gt;0,ROUNDDOWN($D$14/6,0)&gt;=22),22,""),""))</f>
        <v/>
      </c>
      <c r="I149" s="604" t="str">
        <f t="shared" si="22"/>
        <v/>
      </c>
      <c r="J149" s="574" t="str">
        <f t="shared" si="15"/>
        <v/>
      </c>
      <c r="K149" s="580" t="str">
        <f t="shared" si="18"/>
        <v/>
      </c>
      <c r="L149" s="591" t="str">
        <f>IF(OR(L148=0,L148=""),"",IF(AND(H149="",C149=""),"",IF(COUNT(H145:H150)&gt;0,L148-IF(I149="",0,I149),"")))</f>
        <v/>
      </c>
    </row>
    <row r="150" spans="2:12">
      <c r="B150" s="540">
        <v>132</v>
      </c>
      <c r="C150" s="551" t="str">
        <f t="shared" si="16"/>
        <v/>
      </c>
      <c r="D150" s="565" t="str">
        <f t="shared" si="19"/>
        <v/>
      </c>
      <c r="E150" s="574" t="str">
        <f t="shared" si="20"/>
        <v/>
      </c>
      <c r="F150" s="580" t="str">
        <f t="shared" si="17"/>
        <v/>
      </c>
      <c r="G150" s="591" t="str">
        <f t="shared" si="21"/>
        <v/>
      </c>
      <c r="H150" s="551" t="str">
        <f>IF(C150="","",IF(OR($D$9=12,$D$9=6),IF(AND(D$7&gt;0,ROUNDDOWN($D$14/6,0)&gt;=22),22,""),""))</f>
        <v/>
      </c>
      <c r="I150" s="605" t="str">
        <f t="shared" si="22"/>
        <v/>
      </c>
      <c r="J150" s="575" t="str">
        <f t="shared" si="15"/>
        <v/>
      </c>
      <c r="K150" s="581" t="str">
        <f t="shared" si="18"/>
        <v/>
      </c>
      <c r="L150" s="592" t="str">
        <f>IF(OR(L149=0,L149=""),"",IF(AND(H150="",C150=""),"",IF(COUNT(H145:H150)&gt;0,L149-IF(I150="",0,I150),"")))</f>
        <v/>
      </c>
    </row>
    <row r="151" spans="2:12">
      <c r="B151" s="540">
        <v>133</v>
      </c>
      <c r="C151" s="553" t="str">
        <f t="shared" si="16"/>
        <v/>
      </c>
      <c r="D151" s="567" t="str">
        <f t="shared" si="19"/>
        <v/>
      </c>
      <c r="E151" s="576" t="str">
        <f t="shared" si="20"/>
        <v/>
      </c>
      <c r="F151" s="582" t="str">
        <f t="shared" si="17"/>
        <v/>
      </c>
      <c r="G151" s="593" t="str">
        <f t="shared" si="21"/>
        <v/>
      </c>
      <c r="H151" s="553" t="str">
        <f>IF(C151="","",IF(OR($D$9=5,$D$9=11),IF(AND(D$7&gt;0,ROUNDDOWN($D$14/6,0)&gt;=23),23,""),""))</f>
        <v/>
      </c>
      <c r="I151" s="603" t="str">
        <f t="shared" si="22"/>
        <v/>
      </c>
      <c r="J151" s="574" t="str">
        <f t="shared" si="15"/>
        <v/>
      </c>
      <c r="K151" s="582" t="str">
        <f t="shared" si="18"/>
        <v/>
      </c>
      <c r="L151" s="593" t="str">
        <f>IF(OR(L150=0,L150=""),"",IF(AND(H151="",C151=""),"",IF(COUNT(H151:H156)&gt;0,L150-IF(I151="",0,I151),"")))</f>
        <v/>
      </c>
    </row>
    <row r="152" spans="2:12">
      <c r="B152" s="540">
        <v>134</v>
      </c>
      <c r="C152" s="551" t="str">
        <f t="shared" si="16"/>
        <v/>
      </c>
      <c r="D152" s="565" t="str">
        <f t="shared" si="19"/>
        <v/>
      </c>
      <c r="E152" s="574" t="str">
        <f t="shared" si="20"/>
        <v/>
      </c>
      <c r="F152" s="580" t="str">
        <f t="shared" si="17"/>
        <v/>
      </c>
      <c r="G152" s="591" t="str">
        <f t="shared" si="21"/>
        <v/>
      </c>
      <c r="H152" s="551" t="str">
        <f>IF(C152="","",IF(OR($D$9=4,$D$9=10),IF(AND(D$7&gt;0,ROUNDDOWN($D$14/6,0)&gt;=23),23,""),""))</f>
        <v/>
      </c>
      <c r="I152" s="604" t="str">
        <f t="shared" si="22"/>
        <v/>
      </c>
      <c r="J152" s="574" t="str">
        <f t="shared" si="15"/>
        <v/>
      </c>
      <c r="K152" s="580" t="str">
        <f t="shared" si="18"/>
        <v/>
      </c>
      <c r="L152" s="591" t="str">
        <f>IF(OR(L151=0,L151=""),"",IF(AND(H152="",C152=""),"",IF(COUNT(H151:H156)&gt;0,L151-IF(I152="",0,I152),"")))</f>
        <v/>
      </c>
    </row>
    <row r="153" spans="2:12">
      <c r="B153" s="540">
        <v>135</v>
      </c>
      <c r="C153" s="551" t="str">
        <f t="shared" si="16"/>
        <v/>
      </c>
      <c r="D153" s="565" t="str">
        <f t="shared" si="19"/>
        <v/>
      </c>
      <c r="E153" s="574" t="str">
        <f t="shared" si="20"/>
        <v/>
      </c>
      <c r="F153" s="580" t="str">
        <f t="shared" si="17"/>
        <v/>
      </c>
      <c r="G153" s="591" t="str">
        <f t="shared" si="21"/>
        <v/>
      </c>
      <c r="H153" s="551" t="str">
        <f>IF(C153="","",IF(OR($D$9=3,$D$9=9),IF(AND(D$7&gt;0,ROUNDDOWN($D$14/6,0)&gt;=23),23,""),""))</f>
        <v/>
      </c>
      <c r="I153" s="604" t="str">
        <f t="shared" si="22"/>
        <v/>
      </c>
      <c r="J153" s="574" t="str">
        <f t="shared" ref="J153:J216" si="23">IF(H153="","",ROUNDDOWN(L152*$D$12,0))</f>
        <v/>
      </c>
      <c r="K153" s="580" t="str">
        <f t="shared" si="18"/>
        <v/>
      </c>
      <c r="L153" s="591" t="str">
        <f>IF(OR(L152=0,L152=""),"",IF(AND(H153="",C153=""),"",IF(COUNT(H151:H156)&gt;0,L152-IF(I153="",0,I153),"")))</f>
        <v/>
      </c>
    </row>
    <row r="154" spans="2:12">
      <c r="B154" s="540">
        <v>136</v>
      </c>
      <c r="C154" s="551" t="str">
        <f t="shared" si="16"/>
        <v/>
      </c>
      <c r="D154" s="565" t="str">
        <f t="shared" si="19"/>
        <v/>
      </c>
      <c r="E154" s="574" t="str">
        <f t="shared" si="20"/>
        <v/>
      </c>
      <c r="F154" s="580" t="str">
        <f t="shared" si="17"/>
        <v/>
      </c>
      <c r="G154" s="591" t="str">
        <f t="shared" si="21"/>
        <v/>
      </c>
      <c r="H154" s="551" t="str">
        <f>IF(C154="","",IF(OR($D$9=2,$D$9=8),IF(AND(D$7&gt;0,ROUNDDOWN($D$14/6,0)&gt;=23),23,""),""))</f>
        <v/>
      </c>
      <c r="I154" s="604" t="str">
        <f t="shared" si="22"/>
        <v/>
      </c>
      <c r="J154" s="574" t="str">
        <f t="shared" si="23"/>
        <v/>
      </c>
      <c r="K154" s="580" t="str">
        <f t="shared" si="18"/>
        <v/>
      </c>
      <c r="L154" s="591" t="str">
        <f>IF(OR(L153=0,L153=""),"",IF(AND(H154="",C154=""),"",IF(COUNT(H151:H156)&gt;0,L153-IF(I154="",0,I154),"")))</f>
        <v/>
      </c>
    </row>
    <row r="155" spans="2:12">
      <c r="B155" s="540">
        <v>137</v>
      </c>
      <c r="C155" s="551" t="str">
        <f t="shared" si="16"/>
        <v/>
      </c>
      <c r="D155" s="565" t="str">
        <f t="shared" si="19"/>
        <v/>
      </c>
      <c r="E155" s="574" t="str">
        <f t="shared" si="20"/>
        <v/>
      </c>
      <c r="F155" s="580" t="str">
        <f t="shared" si="17"/>
        <v/>
      </c>
      <c r="G155" s="591" t="str">
        <f t="shared" si="21"/>
        <v/>
      </c>
      <c r="H155" s="551" t="str">
        <f>IF(C155="","",IF(OR($D$9=1,$D$9=7),IF(AND(D$7&gt;0,ROUNDDOWN($D$14/6,0)&gt;=23),23,""),""))</f>
        <v/>
      </c>
      <c r="I155" s="604" t="str">
        <f t="shared" si="22"/>
        <v/>
      </c>
      <c r="J155" s="574" t="str">
        <f t="shared" si="23"/>
        <v/>
      </c>
      <c r="K155" s="580" t="str">
        <f t="shared" si="18"/>
        <v/>
      </c>
      <c r="L155" s="591" t="str">
        <f>IF(OR(L154=0,L154=""),"",IF(AND(H155="",C155=""),"",IF(COUNT(H151:H156)&gt;0,L154-IF(I155="",0,I155),"")))</f>
        <v/>
      </c>
    </row>
    <row r="156" spans="2:12">
      <c r="B156" s="540">
        <v>138</v>
      </c>
      <c r="C156" s="552" t="str">
        <f t="shared" si="16"/>
        <v/>
      </c>
      <c r="D156" s="566" t="str">
        <f t="shared" si="19"/>
        <v/>
      </c>
      <c r="E156" s="575" t="str">
        <f t="shared" si="20"/>
        <v/>
      </c>
      <c r="F156" s="581" t="str">
        <f t="shared" si="17"/>
        <v/>
      </c>
      <c r="G156" s="592" t="str">
        <f t="shared" si="21"/>
        <v/>
      </c>
      <c r="H156" s="552" t="str">
        <f>IF(C156="","",IF(OR($D$9=12,$D$9=6),IF(AND(D$7&gt;0,ROUNDDOWN($D$14/6,0)&gt;=23),23,""),""))</f>
        <v/>
      </c>
      <c r="I156" s="605" t="str">
        <f t="shared" si="22"/>
        <v/>
      </c>
      <c r="J156" s="575" t="str">
        <f t="shared" si="23"/>
        <v/>
      </c>
      <c r="K156" s="581" t="str">
        <f t="shared" si="18"/>
        <v/>
      </c>
      <c r="L156" s="592" t="str">
        <f>IF(OR(L155=0,L155=""),"",IF(AND(H156="",C156=""),"",IF(COUNT(H151:H156)&gt;0,L155-IF(I156="",0,I156),"")))</f>
        <v/>
      </c>
    </row>
    <row r="157" spans="2:12">
      <c r="B157" s="540">
        <v>139</v>
      </c>
      <c r="C157" s="551" t="str">
        <f t="shared" si="16"/>
        <v/>
      </c>
      <c r="D157" s="565" t="str">
        <f t="shared" si="19"/>
        <v/>
      </c>
      <c r="E157" s="574" t="str">
        <f t="shared" si="20"/>
        <v/>
      </c>
      <c r="F157" s="580" t="str">
        <f t="shared" si="17"/>
        <v/>
      </c>
      <c r="G157" s="591" t="str">
        <f t="shared" si="21"/>
        <v/>
      </c>
      <c r="H157" s="551" t="str">
        <f>IF(C157="","",IF(OR($D$9=5,$D$9=11),IF(AND(D$7&gt;0,ROUNDDOWN($D$14/6,0)&gt;=24),24,""),""))</f>
        <v/>
      </c>
      <c r="I157" s="603" t="str">
        <f t="shared" si="22"/>
        <v/>
      </c>
      <c r="J157" s="574" t="str">
        <f t="shared" si="23"/>
        <v/>
      </c>
      <c r="K157" s="582" t="str">
        <f t="shared" si="18"/>
        <v/>
      </c>
      <c r="L157" s="593" t="str">
        <f>IF(OR(L156=0,L156=""),"",IF(AND(H157="",C157=""),"",IF(COUNT(H157:H162)&gt;0,L156-IF(I157="",0,I157),"")))</f>
        <v/>
      </c>
    </row>
    <row r="158" spans="2:12">
      <c r="B158" s="540">
        <v>140</v>
      </c>
      <c r="C158" s="551" t="str">
        <f t="shared" si="16"/>
        <v/>
      </c>
      <c r="D158" s="565" t="str">
        <f t="shared" si="19"/>
        <v/>
      </c>
      <c r="E158" s="574" t="str">
        <f t="shared" si="20"/>
        <v/>
      </c>
      <c r="F158" s="580" t="str">
        <f t="shared" si="17"/>
        <v/>
      </c>
      <c r="G158" s="591" t="str">
        <f t="shared" si="21"/>
        <v/>
      </c>
      <c r="H158" s="551" t="str">
        <f>IF(C158="","",IF(OR($D$9=4,$D$9=10),IF(AND(D$7&gt;0,ROUNDDOWN($D$14/6,0)&gt;=24),24,""),""))</f>
        <v/>
      </c>
      <c r="I158" s="604" t="str">
        <f t="shared" si="22"/>
        <v/>
      </c>
      <c r="J158" s="574" t="str">
        <f t="shared" si="23"/>
        <v/>
      </c>
      <c r="K158" s="580" t="str">
        <f t="shared" si="18"/>
        <v/>
      </c>
      <c r="L158" s="591" t="str">
        <f>IF(OR(L157=0,L157=""),"",IF(AND(H158="",C158=""),"",IF(COUNT(H157:H162)&gt;0,L157-IF(I158="",0,I158),"")))</f>
        <v/>
      </c>
    </row>
    <row r="159" spans="2:12">
      <c r="B159" s="540">
        <v>141</v>
      </c>
      <c r="C159" s="551" t="str">
        <f t="shared" si="16"/>
        <v/>
      </c>
      <c r="D159" s="565" t="str">
        <f t="shared" si="19"/>
        <v/>
      </c>
      <c r="E159" s="574" t="str">
        <f t="shared" si="20"/>
        <v/>
      </c>
      <c r="F159" s="580" t="str">
        <f t="shared" si="17"/>
        <v/>
      </c>
      <c r="G159" s="591" t="str">
        <f t="shared" si="21"/>
        <v/>
      </c>
      <c r="H159" s="551" t="str">
        <f>IF(C159="","",IF(OR($D$9=3,$D$9=9),IF(AND(D$7&gt;0,ROUNDDOWN($D$14/6,0)&gt;=24),24,""),""))</f>
        <v/>
      </c>
      <c r="I159" s="604" t="str">
        <f t="shared" si="22"/>
        <v/>
      </c>
      <c r="J159" s="574" t="str">
        <f t="shared" si="23"/>
        <v/>
      </c>
      <c r="K159" s="580" t="str">
        <f t="shared" si="18"/>
        <v/>
      </c>
      <c r="L159" s="591" t="str">
        <f>IF(OR(L158=0,L158=""),"",IF(AND(H159="",C159=""),"",IF(COUNT(H157:H162)&gt;0,L158-IF(I159="",0,I159),"")))</f>
        <v/>
      </c>
    </row>
    <row r="160" spans="2:12">
      <c r="B160" s="540">
        <v>142</v>
      </c>
      <c r="C160" s="551" t="str">
        <f t="shared" si="16"/>
        <v/>
      </c>
      <c r="D160" s="565" t="str">
        <f t="shared" si="19"/>
        <v/>
      </c>
      <c r="E160" s="574" t="str">
        <f t="shared" si="20"/>
        <v/>
      </c>
      <c r="F160" s="580" t="str">
        <f t="shared" si="17"/>
        <v/>
      </c>
      <c r="G160" s="591" t="str">
        <f t="shared" si="21"/>
        <v/>
      </c>
      <c r="H160" s="551" t="str">
        <f>IF(C160="","",IF(OR($D$9=2,$D$9=8),IF(AND(D$7&gt;0,ROUNDDOWN($D$14/6,0)&gt;=24),24,""),""))</f>
        <v/>
      </c>
      <c r="I160" s="604" t="str">
        <f t="shared" si="22"/>
        <v/>
      </c>
      <c r="J160" s="574" t="str">
        <f t="shared" si="23"/>
        <v/>
      </c>
      <c r="K160" s="580" t="str">
        <f t="shared" si="18"/>
        <v/>
      </c>
      <c r="L160" s="591" t="str">
        <f>IF(OR(L159=0,L159=""),"",IF(AND(H160="",C160=""),"",IF(COUNT(H157:H162)&gt;0,L159-IF(I160="",0,I160),"")))</f>
        <v/>
      </c>
    </row>
    <row r="161" spans="2:12">
      <c r="B161" s="540">
        <v>143</v>
      </c>
      <c r="C161" s="551" t="str">
        <f t="shared" si="16"/>
        <v/>
      </c>
      <c r="D161" s="565" t="str">
        <f t="shared" si="19"/>
        <v/>
      </c>
      <c r="E161" s="574" t="str">
        <f t="shared" si="20"/>
        <v/>
      </c>
      <c r="F161" s="580" t="str">
        <f t="shared" si="17"/>
        <v/>
      </c>
      <c r="G161" s="591" t="str">
        <f t="shared" si="21"/>
        <v/>
      </c>
      <c r="H161" s="551" t="str">
        <f>IF(C161="","",IF(OR($D$9=1,$D$9=7),IF(AND(D$7&gt;0,ROUNDDOWN($D$14/6,0)&gt;=24),24,""),""))</f>
        <v/>
      </c>
      <c r="I161" s="604" t="str">
        <f t="shared" si="22"/>
        <v/>
      </c>
      <c r="J161" s="574" t="str">
        <f t="shared" si="23"/>
        <v/>
      </c>
      <c r="K161" s="580" t="str">
        <f t="shared" si="18"/>
        <v/>
      </c>
      <c r="L161" s="591" t="str">
        <f>IF(OR(L160=0,L160=""),"",IF(AND(H161="",C161=""),"",IF(COUNT(H157:H162)&gt;0,L160-IF(I161="",0,I161),"")))</f>
        <v/>
      </c>
    </row>
    <row r="162" spans="2:12">
      <c r="B162" s="540">
        <v>144</v>
      </c>
      <c r="C162" s="551" t="str">
        <f t="shared" si="16"/>
        <v/>
      </c>
      <c r="D162" s="565" t="str">
        <f t="shared" si="19"/>
        <v/>
      </c>
      <c r="E162" s="574" t="str">
        <f t="shared" si="20"/>
        <v/>
      </c>
      <c r="F162" s="580" t="str">
        <f t="shared" si="17"/>
        <v/>
      </c>
      <c r="G162" s="591" t="str">
        <f t="shared" si="21"/>
        <v/>
      </c>
      <c r="H162" s="551" t="str">
        <f>IF(C162="","",IF(OR($D$9=12,$D$9=6),IF(AND(D$7&gt;0,ROUNDDOWN($D$14/6,0)&gt;=24),24,""),""))</f>
        <v/>
      </c>
      <c r="I162" s="605" t="str">
        <f t="shared" si="22"/>
        <v/>
      </c>
      <c r="J162" s="575" t="str">
        <f t="shared" si="23"/>
        <v/>
      </c>
      <c r="K162" s="581" t="str">
        <f t="shared" si="18"/>
        <v/>
      </c>
      <c r="L162" s="592" t="str">
        <f>IF(OR(L161=0,L161=""),"",IF(AND(H162="",C162=""),"",IF(COUNT(H157:H162)&gt;0,L161-IF(I162="",0,I162),"")))</f>
        <v/>
      </c>
    </row>
    <row r="163" spans="2:12">
      <c r="B163" s="540">
        <v>145</v>
      </c>
      <c r="C163" s="553" t="str">
        <f t="shared" si="16"/>
        <v/>
      </c>
      <c r="D163" s="567" t="str">
        <f t="shared" si="19"/>
        <v/>
      </c>
      <c r="E163" s="576" t="str">
        <f t="shared" si="20"/>
        <v/>
      </c>
      <c r="F163" s="582" t="str">
        <f t="shared" si="17"/>
        <v/>
      </c>
      <c r="G163" s="593" t="str">
        <f t="shared" si="21"/>
        <v/>
      </c>
      <c r="H163" s="553" t="str">
        <f>IF(C163="","",IF(OR($D$9=5,$D$9=11),IF(AND(D$7&gt;0,ROUNDDOWN($D$14/6,0)&gt;=25),25,""),""))</f>
        <v/>
      </c>
      <c r="I163" s="603" t="str">
        <f t="shared" si="22"/>
        <v/>
      </c>
      <c r="J163" s="574" t="str">
        <f t="shared" si="23"/>
        <v/>
      </c>
      <c r="K163" s="582" t="str">
        <f t="shared" si="18"/>
        <v/>
      </c>
      <c r="L163" s="593" t="str">
        <f>IF(OR(L162=0,L162=""),"",IF(AND(H163="",C163=""),"",IF(COUNT(H163:H168)&gt;0,L162-IF(I163="",0,I163),"")))</f>
        <v/>
      </c>
    </row>
    <row r="164" spans="2:12">
      <c r="B164" s="540">
        <v>146</v>
      </c>
      <c r="C164" s="551" t="str">
        <f t="shared" si="16"/>
        <v/>
      </c>
      <c r="D164" s="565" t="str">
        <f t="shared" si="19"/>
        <v/>
      </c>
      <c r="E164" s="574" t="str">
        <f t="shared" si="20"/>
        <v/>
      </c>
      <c r="F164" s="580" t="str">
        <f t="shared" si="17"/>
        <v/>
      </c>
      <c r="G164" s="591" t="str">
        <f t="shared" si="21"/>
        <v/>
      </c>
      <c r="H164" s="551" t="str">
        <f>IF(C164="","",IF(OR($D$9=4,$D$9=10),IF(AND(D$7&gt;0,ROUNDDOWN($D$14/6,0)&gt;=25),25,""),""))</f>
        <v/>
      </c>
      <c r="I164" s="604" t="str">
        <f t="shared" si="22"/>
        <v/>
      </c>
      <c r="J164" s="574" t="str">
        <f t="shared" si="23"/>
        <v/>
      </c>
      <c r="K164" s="580" t="str">
        <f t="shared" si="18"/>
        <v/>
      </c>
      <c r="L164" s="591" t="str">
        <f>IF(OR(L163=0,L163=""),"",IF(AND(H164="",C164=""),"",IF(COUNT(H163:H168)&gt;0,L163-IF(I164="",0,I164),"")))</f>
        <v/>
      </c>
    </row>
    <row r="165" spans="2:12">
      <c r="B165" s="540">
        <v>147</v>
      </c>
      <c r="C165" s="551" t="str">
        <f t="shared" si="16"/>
        <v/>
      </c>
      <c r="D165" s="565" t="str">
        <f t="shared" si="19"/>
        <v/>
      </c>
      <c r="E165" s="574" t="str">
        <f t="shared" si="20"/>
        <v/>
      </c>
      <c r="F165" s="580" t="str">
        <f t="shared" si="17"/>
        <v/>
      </c>
      <c r="G165" s="591" t="str">
        <f t="shared" si="21"/>
        <v/>
      </c>
      <c r="H165" s="551" t="str">
        <f>IF(C165="","",IF(OR($D$9=3,$D$9=9),IF(AND(D$7&gt;0,ROUNDDOWN($D$14/6,0)&gt;=25),25,""),""))</f>
        <v/>
      </c>
      <c r="I165" s="604" t="str">
        <f t="shared" si="22"/>
        <v/>
      </c>
      <c r="J165" s="574" t="str">
        <f t="shared" si="23"/>
        <v/>
      </c>
      <c r="K165" s="580" t="str">
        <f t="shared" si="18"/>
        <v/>
      </c>
      <c r="L165" s="591" t="str">
        <f>IF(OR(L164=0,L164=""),"",IF(AND(H165="",C165=""),"",IF(COUNT(H163:H168)&gt;0,L164-IF(I165="",0,I165),"")))</f>
        <v/>
      </c>
    </row>
    <row r="166" spans="2:12">
      <c r="B166" s="540">
        <v>148</v>
      </c>
      <c r="C166" s="551" t="str">
        <f t="shared" si="16"/>
        <v/>
      </c>
      <c r="D166" s="565" t="str">
        <f t="shared" si="19"/>
        <v/>
      </c>
      <c r="E166" s="574" t="str">
        <f t="shared" si="20"/>
        <v/>
      </c>
      <c r="F166" s="580" t="str">
        <f t="shared" si="17"/>
        <v/>
      </c>
      <c r="G166" s="591" t="str">
        <f t="shared" si="21"/>
        <v/>
      </c>
      <c r="H166" s="551" t="str">
        <f>IF(C166="","",IF(OR($D$9=2,$D$9=8),IF(AND(D$7&gt;0,ROUNDDOWN($D$14/6,0)&gt;=25),25,""),""))</f>
        <v/>
      </c>
      <c r="I166" s="604" t="str">
        <f t="shared" si="22"/>
        <v/>
      </c>
      <c r="J166" s="574" t="str">
        <f t="shared" si="23"/>
        <v/>
      </c>
      <c r="K166" s="580" t="str">
        <f t="shared" si="18"/>
        <v/>
      </c>
      <c r="L166" s="591" t="str">
        <f>IF(OR(L165=0,L165=""),"",IF(AND(H166="",C166=""),"",IF(COUNT(H163:H168)&gt;0,L165-IF(I166="",0,I166),"")))</f>
        <v/>
      </c>
    </row>
    <row r="167" spans="2:12">
      <c r="B167" s="540">
        <v>149</v>
      </c>
      <c r="C167" s="551" t="str">
        <f t="shared" si="16"/>
        <v/>
      </c>
      <c r="D167" s="565" t="str">
        <f t="shared" si="19"/>
        <v/>
      </c>
      <c r="E167" s="574" t="str">
        <f t="shared" si="20"/>
        <v/>
      </c>
      <c r="F167" s="580" t="str">
        <f t="shared" si="17"/>
        <v/>
      </c>
      <c r="G167" s="591" t="str">
        <f t="shared" si="21"/>
        <v/>
      </c>
      <c r="H167" s="551" t="str">
        <f>IF(C167="","",IF(OR($D$9=1,$D$9=7),IF(AND(D$7&gt;0,ROUNDDOWN($D$14/6,0)&gt;=25),25,""),""))</f>
        <v/>
      </c>
      <c r="I167" s="604" t="str">
        <f t="shared" si="22"/>
        <v/>
      </c>
      <c r="J167" s="574" t="str">
        <f t="shared" si="23"/>
        <v/>
      </c>
      <c r="K167" s="580" t="str">
        <f t="shared" si="18"/>
        <v/>
      </c>
      <c r="L167" s="591" t="str">
        <f>IF(OR(L166=0,L166=""),"",IF(AND(H167="",C167=""),"",IF(COUNT(H163:H168)&gt;0,L166-IF(I167="",0,I167),"")))</f>
        <v/>
      </c>
    </row>
    <row r="168" spans="2:12">
      <c r="B168" s="540">
        <v>150</v>
      </c>
      <c r="C168" s="552" t="str">
        <f t="shared" si="16"/>
        <v/>
      </c>
      <c r="D168" s="566" t="str">
        <f t="shared" si="19"/>
        <v/>
      </c>
      <c r="E168" s="575" t="str">
        <f t="shared" si="20"/>
        <v/>
      </c>
      <c r="F168" s="581" t="str">
        <f t="shared" si="17"/>
        <v/>
      </c>
      <c r="G168" s="592" t="str">
        <f t="shared" si="21"/>
        <v/>
      </c>
      <c r="H168" s="552" t="str">
        <f>IF(C168="","",IF(OR($D$9=12,$D$9=6),IF(AND(D$7&gt;0,ROUNDDOWN($D$14/6,0)&gt;=25),25,""),""))</f>
        <v/>
      </c>
      <c r="I168" s="605" t="str">
        <f t="shared" si="22"/>
        <v/>
      </c>
      <c r="J168" s="575" t="str">
        <f t="shared" si="23"/>
        <v/>
      </c>
      <c r="K168" s="581" t="str">
        <f t="shared" si="18"/>
        <v/>
      </c>
      <c r="L168" s="592" t="str">
        <f>IF(OR(L167=0,L167=""),"",IF(AND(H168="",C168=""),"",IF(COUNT(H163:H168)&gt;0,L167-IF(I168="",0,I168),"")))</f>
        <v/>
      </c>
    </row>
    <row r="169" spans="2:12">
      <c r="B169" s="540">
        <v>151</v>
      </c>
      <c r="C169" s="551" t="str">
        <f t="shared" si="16"/>
        <v/>
      </c>
      <c r="D169" s="565" t="str">
        <f t="shared" si="19"/>
        <v/>
      </c>
      <c r="E169" s="574" t="str">
        <f t="shared" si="20"/>
        <v/>
      </c>
      <c r="F169" s="580" t="str">
        <f t="shared" si="17"/>
        <v/>
      </c>
      <c r="G169" s="591" t="str">
        <f t="shared" si="21"/>
        <v/>
      </c>
      <c r="H169" s="551" t="str">
        <f>IF(C169="","",IF(OR($D$9=5,$D$9=11),IF(AND(D$7&gt;0,ROUNDDOWN($D$14/6,0)&gt;=26),26,""),""))</f>
        <v/>
      </c>
      <c r="I169" s="603" t="str">
        <f t="shared" si="22"/>
        <v/>
      </c>
      <c r="J169" s="574" t="str">
        <f t="shared" si="23"/>
        <v/>
      </c>
      <c r="K169" s="582" t="str">
        <f t="shared" si="18"/>
        <v/>
      </c>
      <c r="L169" s="593" t="str">
        <f>IF(OR(L168=0,L168=""),"",IF(AND(H169="",C169=""),"",IF(COUNT(H169:H174)&gt;0,L168-IF(I169="",0,I169),"")))</f>
        <v/>
      </c>
    </row>
    <row r="170" spans="2:12">
      <c r="B170" s="540">
        <v>152</v>
      </c>
      <c r="C170" s="551" t="str">
        <f t="shared" si="16"/>
        <v/>
      </c>
      <c r="D170" s="565" t="str">
        <f t="shared" si="19"/>
        <v/>
      </c>
      <c r="E170" s="574" t="str">
        <f t="shared" si="20"/>
        <v/>
      </c>
      <c r="F170" s="580" t="str">
        <f t="shared" si="17"/>
        <v/>
      </c>
      <c r="G170" s="591" t="str">
        <f t="shared" si="21"/>
        <v/>
      </c>
      <c r="H170" s="551" t="str">
        <f>IF(C170="","",IF(OR($D$9=4,$D$9=10),IF(AND(D$7&gt;0,ROUNDDOWN($D$14/6,0)&gt;=26),26,""),""))</f>
        <v/>
      </c>
      <c r="I170" s="604" t="str">
        <f t="shared" si="22"/>
        <v/>
      </c>
      <c r="J170" s="574" t="str">
        <f t="shared" si="23"/>
        <v/>
      </c>
      <c r="K170" s="580" t="str">
        <f t="shared" si="18"/>
        <v/>
      </c>
      <c r="L170" s="591" t="str">
        <f>IF(OR(L169=0,L169=""),"",IF(AND(H170="",C170=""),"",IF(COUNT(H169:H174)&gt;0,L169-IF(I170="",0,I170),"")))</f>
        <v/>
      </c>
    </row>
    <row r="171" spans="2:12">
      <c r="B171" s="540">
        <v>153</v>
      </c>
      <c r="C171" s="551" t="str">
        <f t="shared" si="16"/>
        <v/>
      </c>
      <c r="D171" s="565" t="str">
        <f t="shared" si="19"/>
        <v/>
      </c>
      <c r="E171" s="574" t="str">
        <f t="shared" si="20"/>
        <v/>
      </c>
      <c r="F171" s="580" t="str">
        <f t="shared" si="17"/>
        <v/>
      </c>
      <c r="G171" s="591" t="str">
        <f t="shared" si="21"/>
        <v/>
      </c>
      <c r="H171" s="551" t="str">
        <f>IF(C171="","",IF(OR($D$9=3,$D$9=9),IF(AND(D$7&gt;0,ROUNDDOWN($D$14/6,0)&gt;=26),26,""),""))</f>
        <v/>
      </c>
      <c r="I171" s="604" t="str">
        <f t="shared" si="22"/>
        <v/>
      </c>
      <c r="J171" s="574" t="str">
        <f t="shared" si="23"/>
        <v/>
      </c>
      <c r="K171" s="580" t="str">
        <f t="shared" si="18"/>
        <v/>
      </c>
      <c r="L171" s="591" t="str">
        <f>IF(OR(L170=0,L170=""),"",IF(AND(H171="",C171=""),"",IF(COUNT(H169:H174)&gt;0,L170-IF(I171="",0,I171),"")))</f>
        <v/>
      </c>
    </row>
    <row r="172" spans="2:12">
      <c r="B172" s="540">
        <v>154</v>
      </c>
      <c r="C172" s="551" t="str">
        <f t="shared" si="16"/>
        <v/>
      </c>
      <c r="D172" s="565" t="str">
        <f t="shared" si="19"/>
        <v/>
      </c>
      <c r="E172" s="574" t="str">
        <f t="shared" si="20"/>
        <v/>
      </c>
      <c r="F172" s="580" t="str">
        <f t="shared" si="17"/>
        <v/>
      </c>
      <c r="G172" s="591" t="str">
        <f t="shared" si="21"/>
        <v/>
      </c>
      <c r="H172" s="551" t="str">
        <f>IF(C172="","",IF(OR($D$9=2,$D$9=8),IF(AND(D$7&gt;0,ROUNDDOWN($D$14/6,0)&gt;=26),26,""),""))</f>
        <v/>
      </c>
      <c r="I172" s="604" t="str">
        <f t="shared" si="22"/>
        <v/>
      </c>
      <c r="J172" s="574" t="str">
        <f t="shared" si="23"/>
        <v/>
      </c>
      <c r="K172" s="580" t="str">
        <f t="shared" si="18"/>
        <v/>
      </c>
      <c r="L172" s="591" t="str">
        <f>IF(OR(L171=0,L171=""),"",IF(AND(H172="",C172=""),"",IF(COUNT(H169:H174)&gt;0,L171-IF(I172="",0,I172),"")))</f>
        <v/>
      </c>
    </row>
    <row r="173" spans="2:12">
      <c r="B173" s="540">
        <v>155</v>
      </c>
      <c r="C173" s="551" t="str">
        <f t="shared" si="16"/>
        <v/>
      </c>
      <c r="D173" s="565" t="str">
        <f t="shared" si="19"/>
        <v/>
      </c>
      <c r="E173" s="574" t="str">
        <f t="shared" si="20"/>
        <v/>
      </c>
      <c r="F173" s="580" t="str">
        <f t="shared" si="17"/>
        <v/>
      </c>
      <c r="G173" s="591" t="str">
        <f t="shared" si="21"/>
        <v/>
      </c>
      <c r="H173" s="551" t="str">
        <f>IF(C173="","",IF(OR($D$9=1,$D$9=7),IF(AND(D$7&gt;0,ROUNDDOWN($D$14/6,0)&gt;=26),26,""),""))</f>
        <v/>
      </c>
      <c r="I173" s="604" t="str">
        <f t="shared" si="22"/>
        <v/>
      </c>
      <c r="J173" s="574" t="str">
        <f t="shared" si="23"/>
        <v/>
      </c>
      <c r="K173" s="580" t="str">
        <f t="shared" si="18"/>
        <v/>
      </c>
      <c r="L173" s="591" t="str">
        <f>IF(OR(L172=0,L172=""),"",IF(AND(H173="",C173=""),"",IF(COUNT(H169:H174)&gt;0,L172-IF(I173="",0,I173),"")))</f>
        <v/>
      </c>
    </row>
    <row r="174" spans="2:12">
      <c r="B174" s="540">
        <v>156</v>
      </c>
      <c r="C174" s="551" t="str">
        <f t="shared" si="16"/>
        <v/>
      </c>
      <c r="D174" s="565" t="str">
        <f t="shared" si="19"/>
        <v/>
      </c>
      <c r="E174" s="574" t="str">
        <f t="shared" si="20"/>
        <v/>
      </c>
      <c r="F174" s="580" t="str">
        <f t="shared" si="17"/>
        <v/>
      </c>
      <c r="G174" s="591" t="str">
        <f t="shared" si="21"/>
        <v/>
      </c>
      <c r="H174" s="551" t="str">
        <f>IF(C174="","",IF(OR($D$9=12,$D$9=6),IF(AND(D$7&gt;0,ROUNDDOWN($D$14/6,0)&gt;=26),26,""),""))</f>
        <v/>
      </c>
      <c r="I174" s="605" t="str">
        <f t="shared" si="22"/>
        <v/>
      </c>
      <c r="J174" s="575" t="str">
        <f t="shared" si="23"/>
        <v/>
      </c>
      <c r="K174" s="581" t="str">
        <f t="shared" si="18"/>
        <v/>
      </c>
      <c r="L174" s="592" t="str">
        <f>IF(OR(L173=0,L173=""),"",IF(AND(H174="",C174=""),"",IF(COUNT(H169:H174)&gt;0,L173-IF(I174="",0,I174),"")))</f>
        <v/>
      </c>
    </row>
    <row r="175" spans="2:12">
      <c r="B175" s="540">
        <v>157</v>
      </c>
      <c r="C175" s="553" t="str">
        <f t="shared" si="16"/>
        <v/>
      </c>
      <c r="D175" s="567" t="str">
        <f t="shared" si="19"/>
        <v/>
      </c>
      <c r="E175" s="576" t="str">
        <f t="shared" si="20"/>
        <v/>
      </c>
      <c r="F175" s="582" t="str">
        <f t="shared" si="17"/>
        <v/>
      </c>
      <c r="G175" s="593" t="str">
        <f t="shared" si="21"/>
        <v/>
      </c>
      <c r="H175" s="553" t="str">
        <f>IF(C175="","",IF(OR($D$9=5,$D$9=11),IF(AND(D$7&gt;0,ROUNDDOWN($D$14/6,0)&gt;=27),27,""),""))</f>
        <v/>
      </c>
      <c r="I175" s="603" t="str">
        <f t="shared" si="22"/>
        <v/>
      </c>
      <c r="J175" s="574" t="str">
        <f t="shared" si="23"/>
        <v/>
      </c>
      <c r="K175" s="582" t="str">
        <f t="shared" si="18"/>
        <v/>
      </c>
      <c r="L175" s="593" t="str">
        <f>IF(OR(L174=0,L174=""),"",IF(AND(H175="",C175=""),"",IF(COUNT(H175:H180)&gt;0,L174-IF(I175="",0,I175),"")))</f>
        <v/>
      </c>
    </row>
    <row r="176" spans="2:12">
      <c r="B176" s="540">
        <v>158</v>
      </c>
      <c r="C176" s="551" t="str">
        <f t="shared" si="16"/>
        <v/>
      </c>
      <c r="D176" s="565" t="str">
        <f t="shared" si="19"/>
        <v/>
      </c>
      <c r="E176" s="574" t="str">
        <f t="shared" si="20"/>
        <v/>
      </c>
      <c r="F176" s="580" t="str">
        <f t="shared" si="17"/>
        <v/>
      </c>
      <c r="G176" s="591" t="str">
        <f t="shared" si="21"/>
        <v/>
      </c>
      <c r="H176" s="551" t="str">
        <f>IF(C176="","",IF(OR($D$9=4,$D$9=10),IF(AND(D$7&gt;0,ROUNDDOWN($D$14/6,0)&gt;=27),27,""),""))</f>
        <v/>
      </c>
      <c r="I176" s="604" t="str">
        <f t="shared" si="22"/>
        <v/>
      </c>
      <c r="J176" s="574" t="str">
        <f t="shared" si="23"/>
        <v/>
      </c>
      <c r="K176" s="580" t="str">
        <f t="shared" si="18"/>
        <v/>
      </c>
      <c r="L176" s="591" t="str">
        <f>IF(OR(L175=0,L175=""),"",IF(AND(H176="",C176=""),"",IF(COUNT(H175:H180)&gt;0,L175-IF(I176="",0,I176),"")))</f>
        <v/>
      </c>
    </row>
    <row r="177" spans="2:12">
      <c r="B177" s="540">
        <v>159</v>
      </c>
      <c r="C177" s="551" t="str">
        <f t="shared" si="16"/>
        <v/>
      </c>
      <c r="D177" s="565" t="str">
        <f t="shared" si="19"/>
        <v/>
      </c>
      <c r="E177" s="574" t="str">
        <f t="shared" si="20"/>
        <v/>
      </c>
      <c r="F177" s="580" t="str">
        <f t="shared" si="17"/>
        <v/>
      </c>
      <c r="G177" s="591" t="str">
        <f t="shared" si="21"/>
        <v/>
      </c>
      <c r="H177" s="551" t="str">
        <f>IF(C177="","",IF(OR($D$9=3,$D$9=9),IF(AND(D$7&gt;0,ROUNDDOWN($D$14/6,0)&gt;=27),27,""),""))</f>
        <v/>
      </c>
      <c r="I177" s="604" t="str">
        <f t="shared" si="22"/>
        <v/>
      </c>
      <c r="J177" s="574" t="str">
        <f t="shared" si="23"/>
        <v/>
      </c>
      <c r="K177" s="580" t="str">
        <f t="shared" si="18"/>
        <v/>
      </c>
      <c r="L177" s="591" t="str">
        <f>IF(OR(L176=0,L176=""),"",IF(AND(H177="",C177=""),"",IF(COUNT(H175:H180)&gt;0,L176-IF(I177="",0,I177),"")))</f>
        <v/>
      </c>
    </row>
    <row r="178" spans="2:12">
      <c r="B178" s="540">
        <v>160</v>
      </c>
      <c r="C178" s="551" t="str">
        <f t="shared" si="16"/>
        <v/>
      </c>
      <c r="D178" s="565" t="str">
        <f t="shared" si="19"/>
        <v/>
      </c>
      <c r="E178" s="574" t="str">
        <f t="shared" si="20"/>
        <v/>
      </c>
      <c r="F178" s="580" t="str">
        <f t="shared" si="17"/>
        <v/>
      </c>
      <c r="G178" s="591" t="str">
        <f t="shared" si="21"/>
        <v/>
      </c>
      <c r="H178" s="551" t="str">
        <f>IF(C178="","",IF(OR($D$9=2,$D$9=8),IF(AND(D$7&gt;0,ROUNDDOWN($D$14/6,0)&gt;=27),27,""),""))</f>
        <v/>
      </c>
      <c r="I178" s="604" t="str">
        <f t="shared" si="22"/>
        <v/>
      </c>
      <c r="J178" s="574" t="str">
        <f t="shared" si="23"/>
        <v/>
      </c>
      <c r="K178" s="580" t="str">
        <f t="shared" si="18"/>
        <v/>
      </c>
      <c r="L178" s="591" t="str">
        <f>IF(OR(L177=0,L177=""),"",IF(AND(H178="",C178=""),"",IF(COUNT(H175:H180)&gt;0,L177-IF(I178="",0,I178),"")))</f>
        <v/>
      </c>
    </row>
    <row r="179" spans="2:12">
      <c r="B179" s="540">
        <v>161</v>
      </c>
      <c r="C179" s="551" t="str">
        <f t="shared" si="16"/>
        <v/>
      </c>
      <c r="D179" s="565" t="str">
        <f t="shared" si="19"/>
        <v/>
      </c>
      <c r="E179" s="574" t="str">
        <f t="shared" si="20"/>
        <v/>
      </c>
      <c r="F179" s="580" t="str">
        <f t="shared" si="17"/>
        <v/>
      </c>
      <c r="G179" s="591" t="str">
        <f t="shared" si="21"/>
        <v/>
      </c>
      <c r="H179" s="551" t="str">
        <f>IF(C179="","",IF(OR($D$9=1,$D$9=7),IF(AND(D$7&gt;0,ROUNDDOWN($D$14/6,0)&gt;=27),27,""),""))</f>
        <v/>
      </c>
      <c r="I179" s="604" t="str">
        <f t="shared" si="22"/>
        <v/>
      </c>
      <c r="J179" s="574" t="str">
        <f t="shared" si="23"/>
        <v/>
      </c>
      <c r="K179" s="580" t="str">
        <f t="shared" si="18"/>
        <v/>
      </c>
      <c r="L179" s="591" t="str">
        <f>IF(OR(L178=0,L178=""),"",IF(AND(H179="",C179=""),"",IF(COUNT(H175:H180)&gt;0,L178-IF(I179="",0,I179),"")))</f>
        <v/>
      </c>
    </row>
    <row r="180" spans="2:12">
      <c r="B180" s="540">
        <v>162</v>
      </c>
      <c r="C180" s="552" t="str">
        <f t="shared" si="16"/>
        <v/>
      </c>
      <c r="D180" s="566" t="str">
        <f t="shared" si="19"/>
        <v/>
      </c>
      <c r="E180" s="575" t="str">
        <f t="shared" si="20"/>
        <v/>
      </c>
      <c r="F180" s="581" t="str">
        <f t="shared" si="17"/>
        <v/>
      </c>
      <c r="G180" s="592" t="str">
        <f t="shared" si="21"/>
        <v/>
      </c>
      <c r="H180" s="552" t="str">
        <f>IF(C180="","",IF(OR($D$9=12,$D$9=6),IF(AND(D$7&gt;0,ROUNDDOWN($D$14/6,0)&gt;=27),27,""),""))</f>
        <v/>
      </c>
      <c r="I180" s="605" t="str">
        <f t="shared" si="22"/>
        <v/>
      </c>
      <c r="J180" s="575" t="str">
        <f t="shared" si="23"/>
        <v/>
      </c>
      <c r="K180" s="581" t="str">
        <f t="shared" si="18"/>
        <v/>
      </c>
      <c r="L180" s="592" t="str">
        <f>IF(OR(L179=0,L179=""),"",IF(AND(H180="",C180=""),"",IF(COUNT(H175:H180)&gt;0,L179-IF(I180="",0,I180),"")))</f>
        <v/>
      </c>
    </row>
    <row r="181" spans="2:12">
      <c r="B181" s="540">
        <v>163</v>
      </c>
      <c r="C181" s="551" t="str">
        <f t="shared" si="16"/>
        <v/>
      </c>
      <c r="D181" s="565" t="str">
        <f t="shared" si="19"/>
        <v/>
      </c>
      <c r="E181" s="574" t="str">
        <f t="shared" si="20"/>
        <v/>
      </c>
      <c r="F181" s="580" t="str">
        <f t="shared" si="17"/>
        <v/>
      </c>
      <c r="G181" s="591" t="str">
        <f t="shared" si="21"/>
        <v/>
      </c>
      <c r="H181" s="551" t="str">
        <f>IF(C181="","",IF(OR($D$9=5,$D$9=11),IF(AND(D$7&gt;0,ROUNDDOWN($D$14/6,0)&gt;=28),28,""),""))</f>
        <v/>
      </c>
      <c r="I181" s="603" t="str">
        <f t="shared" si="22"/>
        <v/>
      </c>
      <c r="J181" s="574" t="str">
        <f t="shared" si="23"/>
        <v/>
      </c>
      <c r="K181" s="582" t="str">
        <f t="shared" si="18"/>
        <v/>
      </c>
      <c r="L181" s="593" t="str">
        <f>IF(OR(L180=0,L180=""),"",IF(AND(H181="",C181=""),"",IF(COUNT(H181:H186)&gt;0,L180-IF(I181="",0,I181),"")))</f>
        <v/>
      </c>
    </row>
    <row r="182" spans="2:12">
      <c r="B182" s="540">
        <v>164</v>
      </c>
      <c r="C182" s="551" t="str">
        <f t="shared" si="16"/>
        <v/>
      </c>
      <c r="D182" s="565" t="str">
        <f t="shared" si="19"/>
        <v/>
      </c>
      <c r="E182" s="574" t="str">
        <f t="shared" si="20"/>
        <v/>
      </c>
      <c r="F182" s="580" t="str">
        <f t="shared" si="17"/>
        <v/>
      </c>
      <c r="G182" s="591" t="str">
        <f t="shared" si="21"/>
        <v/>
      </c>
      <c r="H182" s="551" t="str">
        <f>IF(C182="","",IF(OR($D$9=4,$D$9=10),IF(AND(D$7&gt;0,ROUNDDOWN($D$14/6,0)&gt;=28),28,""),""))</f>
        <v/>
      </c>
      <c r="I182" s="604" t="str">
        <f t="shared" si="22"/>
        <v/>
      </c>
      <c r="J182" s="574" t="str">
        <f t="shared" si="23"/>
        <v/>
      </c>
      <c r="K182" s="580" t="str">
        <f t="shared" si="18"/>
        <v/>
      </c>
      <c r="L182" s="591" t="str">
        <f>IF(OR(L181=0,L181=""),"",IF(AND(H182="",C182=""),"",IF(COUNT(H181:H186)&gt;0,L181-IF(I182="",0,I182),"")))</f>
        <v/>
      </c>
    </row>
    <row r="183" spans="2:12">
      <c r="B183" s="540">
        <v>165</v>
      </c>
      <c r="C183" s="551" t="str">
        <f t="shared" si="16"/>
        <v/>
      </c>
      <c r="D183" s="565" t="str">
        <f t="shared" si="19"/>
        <v/>
      </c>
      <c r="E183" s="574" t="str">
        <f t="shared" si="20"/>
        <v/>
      </c>
      <c r="F183" s="580" t="str">
        <f t="shared" si="17"/>
        <v/>
      </c>
      <c r="G183" s="591" t="str">
        <f t="shared" si="21"/>
        <v/>
      </c>
      <c r="H183" s="551" t="str">
        <f>IF(C183="","",IF(OR($D$9=3,$D$9=9),IF(AND(D$7&gt;0,ROUNDDOWN($D$14/6,0)&gt;=28),28,""),""))</f>
        <v/>
      </c>
      <c r="I183" s="604" t="str">
        <f t="shared" si="22"/>
        <v/>
      </c>
      <c r="J183" s="574" t="str">
        <f t="shared" si="23"/>
        <v/>
      </c>
      <c r="K183" s="580" t="str">
        <f t="shared" si="18"/>
        <v/>
      </c>
      <c r="L183" s="591" t="str">
        <f>IF(OR(L182=0,L182=""),"",IF(AND(H183="",C183=""),"",IF(COUNT(H181:H186)&gt;0,L182-IF(I183="",0,I183),"")))</f>
        <v/>
      </c>
    </row>
    <row r="184" spans="2:12">
      <c r="B184" s="540">
        <v>166</v>
      </c>
      <c r="C184" s="551" t="str">
        <f t="shared" si="16"/>
        <v/>
      </c>
      <c r="D184" s="565" t="str">
        <f t="shared" si="19"/>
        <v/>
      </c>
      <c r="E184" s="574" t="str">
        <f t="shared" si="20"/>
        <v/>
      </c>
      <c r="F184" s="580" t="str">
        <f t="shared" si="17"/>
        <v/>
      </c>
      <c r="G184" s="591" t="str">
        <f t="shared" si="21"/>
        <v/>
      </c>
      <c r="H184" s="551" t="str">
        <f>IF(C184="","",IF(OR($D$9=2,$D$9=8),IF(AND(D$7&gt;0,ROUNDDOWN($D$14/6,0)&gt;=28),28,""),""))</f>
        <v/>
      </c>
      <c r="I184" s="604" t="str">
        <f t="shared" si="22"/>
        <v/>
      </c>
      <c r="J184" s="574" t="str">
        <f t="shared" si="23"/>
        <v/>
      </c>
      <c r="K184" s="580" t="str">
        <f t="shared" si="18"/>
        <v/>
      </c>
      <c r="L184" s="591" t="str">
        <f>IF(OR(L183=0,L183=""),"",IF(AND(H184="",C184=""),"",IF(COUNT(H181:H186)&gt;0,L183-IF(I184="",0,I184),"")))</f>
        <v/>
      </c>
    </row>
    <row r="185" spans="2:12">
      <c r="B185" s="540">
        <v>167</v>
      </c>
      <c r="C185" s="551" t="str">
        <f t="shared" si="16"/>
        <v/>
      </c>
      <c r="D185" s="565" t="str">
        <f t="shared" si="19"/>
        <v/>
      </c>
      <c r="E185" s="574" t="str">
        <f t="shared" si="20"/>
        <v/>
      </c>
      <c r="F185" s="580" t="str">
        <f t="shared" si="17"/>
        <v/>
      </c>
      <c r="G185" s="591" t="str">
        <f t="shared" si="21"/>
        <v/>
      </c>
      <c r="H185" s="551" t="str">
        <f>IF(C185="","",IF(OR($D$9=1,$D$9=7),IF(AND(D$7&gt;0,ROUNDDOWN($D$14/6,0)&gt;=28),28,""),""))</f>
        <v/>
      </c>
      <c r="I185" s="604" t="str">
        <f t="shared" si="22"/>
        <v/>
      </c>
      <c r="J185" s="574" t="str">
        <f t="shared" si="23"/>
        <v/>
      </c>
      <c r="K185" s="580" t="str">
        <f t="shared" si="18"/>
        <v/>
      </c>
      <c r="L185" s="591" t="str">
        <f>IF(OR(L184=0,L184=""),"",IF(AND(H185="",C185=""),"",IF(COUNT(H181:H186)&gt;0,L184-IF(I185="",0,I185),"")))</f>
        <v/>
      </c>
    </row>
    <row r="186" spans="2:12">
      <c r="B186" s="540">
        <v>168</v>
      </c>
      <c r="C186" s="551" t="str">
        <f t="shared" si="16"/>
        <v/>
      </c>
      <c r="D186" s="565" t="str">
        <f t="shared" si="19"/>
        <v/>
      </c>
      <c r="E186" s="574" t="str">
        <f t="shared" si="20"/>
        <v/>
      </c>
      <c r="F186" s="580" t="str">
        <f t="shared" si="17"/>
        <v/>
      </c>
      <c r="G186" s="591" t="str">
        <f t="shared" si="21"/>
        <v/>
      </c>
      <c r="H186" s="551" t="str">
        <f>IF(C186="","",IF(OR($D$9=12,$D$9=6),IF(AND(D$7&gt;0,ROUNDDOWN($D$14/6,0)&gt;=28),28,""),""))</f>
        <v/>
      </c>
      <c r="I186" s="605" t="str">
        <f t="shared" si="22"/>
        <v/>
      </c>
      <c r="J186" s="575" t="str">
        <f t="shared" si="23"/>
        <v/>
      </c>
      <c r="K186" s="581" t="str">
        <f t="shared" si="18"/>
        <v/>
      </c>
      <c r="L186" s="592" t="str">
        <f>IF(OR(L185=0,L185=""),"",IF(AND(H186="",C186=""),"",IF(COUNT(H181:H186)&gt;0,L185-IF(I186="",0,I186),"")))</f>
        <v/>
      </c>
    </row>
    <row r="187" spans="2:12">
      <c r="B187" s="540">
        <v>169</v>
      </c>
      <c r="C187" s="553" t="str">
        <f t="shared" si="16"/>
        <v/>
      </c>
      <c r="D187" s="567" t="str">
        <f t="shared" si="19"/>
        <v/>
      </c>
      <c r="E187" s="576" t="str">
        <f t="shared" si="20"/>
        <v/>
      </c>
      <c r="F187" s="582" t="str">
        <f t="shared" si="17"/>
        <v/>
      </c>
      <c r="G187" s="593" t="str">
        <f t="shared" si="21"/>
        <v/>
      </c>
      <c r="H187" s="553" t="str">
        <f>IF(C187="","",IF(OR($D$9=5,$D$9=11),IF(AND(D$7&gt;0,ROUNDDOWN($D$14/6,0)&gt;=29),29,""),""))</f>
        <v/>
      </c>
      <c r="I187" s="603" t="str">
        <f t="shared" si="22"/>
        <v/>
      </c>
      <c r="J187" s="574" t="str">
        <f t="shared" si="23"/>
        <v/>
      </c>
      <c r="K187" s="582" t="str">
        <f t="shared" si="18"/>
        <v/>
      </c>
      <c r="L187" s="593" t="str">
        <f>IF(OR(L186=0,L186=""),"",IF(AND(H187="",C187=""),"",IF(COUNT(H187:H192)&gt;0,L186-IF(I187="",0,I187),"")))</f>
        <v/>
      </c>
    </row>
    <row r="188" spans="2:12">
      <c r="B188" s="540">
        <v>170</v>
      </c>
      <c r="C188" s="551" t="str">
        <f t="shared" si="16"/>
        <v/>
      </c>
      <c r="D188" s="565" t="str">
        <f t="shared" si="19"/>
        <v/>
      </c>
      <c r="E188" s="574" t="str">
        <f t="shared" si="20"/>
        <v/>
      </c>
      <c r="F188" s="580" t="str">
        <f t="shared" si="17"/>
        <v/>
      </c>
      <c r="G188" s="591" t="str">
        <f t="shared" si="21"/>
        <v/>
      </c>
      <c r="H188" s="551" t="str">
        <f>IF(C188="","",IF(OR($D$9=4,$D$9=10),IF(AND(D$7&gt;0,ROUNDDOWN($D$14/6,0)&gt;=29),29,""),""))</f>
        <v/>
      </c>
      <c r="I188" s="604" t="str">
        <f t="shared" si="22"/>
        <v/>
      </c>
      <c r="J188" s="574" t="str">
        <f t="shared" si="23"/>
        <v/>
      </c>
      <c r="K188" s="580" t="str">
        <f t="shared" si="18"/>
        <v/>
      </c>
      <c r="L188" s="591" t="str">
        <f>IF(OR(L187=0,L187=""),"",IF(AND(H188="",C188=""),"",IF(COUNT(H187:H192)&gt;0,L187-IF(I188="",0,I188),"")))</f>
        <v/>
      </c>
    </row>
    <row r="189" spans="2:12">
      <c r="B189" s="540">
        <v>171</v>
      </c>
      <c r="C189" s="551" t="str">
        <f t="shared" si="16"/>
        <v/>
      </c>
      <c r="D189" s="565" t="str">
        <f t="shared" si="19"/>
        <v/>
      </c>
      <c r="E189" s="574" t="str">
        <f t="shared" si="20"/>
        <v/>
      </c>
      <c r="F189" s="580" t="str">
        <f t="shared" si="17"/>
        <v/>
      </c>
      <c r="G189" s="591" t="str">
        <f t="shared" si="21"/>
        <v/>
      </c>
      <c r="H189" s="551" t="str">
        <f>IF(C189="","",IF(OR($D$9=3,$D$9=9),IF(AND(D$7&gt;0,ROUNDDOWN($D$14/6,0)&gt;=29),29,""),""))</f>
        <v/>
      </c>
      <c r="I189" s="604" t="str">
        <f t="shared" si="22"/>
        <v/>
      </c>
      <c r="J189" s="574" t="str">
        <f t="shared" si="23"/>
        <v/>
      </c>
      <c r="K189" s="580" t="str">
        <f t="shared" si="18"/>
        <v/>
      </c>
      <c r="L189" s="591" t="str">
        <f>IF(OR(L188=0,L188=""),"",IF(AND(H189="",C189=""),"",IF(COUNT(H187:H192)&gt;0,L188-IF(I189="",0,I189),"")))</f>
        <v/>
      </c>
    </row>
    <row r="190" spans="2:12">
      <c r="B190" s="540">
        <v>172</v>
      </c>
      <c r="C190" s="551" t="str">
        <f t="shared" si="16"/>
        <v/>
      </c>
      <c r="D190" s="565" t="str">
        <f t="shared" si="19"/>
        <v/>
      </c>
      <c r="E190" s="574" t="str">
        <f t="shared" si="20"/>
        <v/>
      </c>
      <c r="F190" s="580" t="str">
        <f t="shared" si="17"/>
        <v/>
      </c>
      <c r="G190" s="591" t="str">
        <f t="shared" si="21"/>
        <v/>
      </c>
      <c r="H190" s="551" t="str">
        <f>IF(C190="","",IF(OR($D$9=2,$D$9=8),IF(AND(D$7&gt;0,ROUNDDOWN($D$14/6,0)&gt;=29),29,""),""))</f>
        <v/>
      </c>
      <c r="I190" s="604" t="str">
        <f t="shared" si="22"/>
        <v/>
      </c>
      <c r="J190" s="574" t="str">
        <f t="shared" si="23"/>
        <v/>
      </c>
      <c r="K190" s="580" t="str">
        <f t="shared" si="18"/>
        <v/>
      </c>
      <c r="L190" s="591" t="str">
        <f>IF(OR(L189=0,L189=""),"",IF(AND(H190="",C190=""),"",IF(COUNT(H187:H192)&gt;0,L189-IF(I190="",0,I190),"")))</f>
        <v/>
      </c>
    </row>
    <row r="191" spans="2:12">
      <c r="B191" s="540">
        <v>173</v>
      </c>
      <c r="C191" s="551" t="str">
        <f t="shared" si="16"/>
        <v/>
      </c>
      <c r="D191" s="565" t="str">
        <f t="shared" si="19"/>
        <v/>
      </c>
      <c r="E191" s="574" t="str">
        <f t="shared" si="20"/>
        <v/>
      </c>
      <c r="F191" s="580" t="str">
        <f t="shared" si="17"/>
        <v/>
      </c>
      <c r="G191" s="591" t="str">
        <f t="shared" si="21"/>
        <v/>
      </c>
      <c r="H191" s="551" t="str">
        <f>IF(C191="","",IF(OR($D$9=1,$D$9=7),IF(AND(D$7&gt;0,ROUNDDOWN($D$14/6,0)&gt;=29),29,""),""))</f>
        <v/>
      </c>
      <c r="I191" s="604" t="str">
        <f t="shared" si="22"/>
        <v/>
      </c>
      <c r="J191" s="574" t="str">
        <f t="shared" si="23"/>
        <v/>
      </c>
      <c r="K191" s="580" t="str">
        <f t="shared" si="18"/>
        <v/>
      </c>
      <c r="L191" s="591" t="str">
        <f>IF(OR(L190=0,L190=""),"",IF(AND(H191="",C191=""),"",IF(COUNT(H187:H192)&gt;0,L190-IF(I191="",0,I191),"")))</f>
        <v/>
      </c>
    </row>
    <row r="192" spans="2:12">
      <c r="B192" s="540">
        <v>174</v>
      </c>
      <c r="C192" s="552" t="str">
        <f t="shared" si="16"/>
        <v/>
      </c>
      <c r="D192" s="566" t="str">
        <f t="shared" si="19"/>
        <v/>
      </c>
      <c r="E192" s="575" t="str">
        <f t="shared" si="20"/>
        <v/>
      </c>
      <c r="F192" s="581" t="str">
        <f t="shared" si="17"/>
        <v/>
      </c>
      <c r="G192" s="592" t="str">
        <f t="shared" si="21"/>
        <v/>
      </c>
      <c r="H192" s="552" t="str">
        <f>IF(C192="","",IF(OR($D$9=12,$D$9=6),IF(AND(D$7&gt;0,ROUNDDOWN($D$14/6,0)&gt;=29),29,""),""))</f>
        <v/>
      </c>
      <c r="I192" s="605" t="str">
        <f t="shared" si="22"/>
        <v/>
      </c>
      <c r="J192" s="575" t="str">
        <f t="shared" si="23"/>
        <v/>
      </c>
      <c r="K192" s="581" t="str">
        <f t="shared" si="18"/>
        <v/>
      </c>
      <c r="L192" s="592" t="str">
        <f>IF(OR(L191=0,L191=""),"",IF(AND(H192="",C192=""),"",IF(COUNT(H187:H192)&gt;0,L191-IF(I192="",0,I192),"")))</f>
        <v/>
      </c>
    </row>
    <row r="193" spans="2:12">
      <c r="B193" s="540">
        <v>175</v>
      </c>
      <c r="C193" s="551" t="str">
        <f t="shared" si="16"/>
        <v/>
      </c>
      <c r="D193" s="565" t="str">
        <f t="shared" si="19"/>
        <v/>
      </c>
      <c r="E193" s="574" t="str">
        <f t="shared" si="20"/>
        <v/>
      </c>
      <c r="F193" s="580" t="str">
        <f t="shared" si="17"/>
        <v/>
      </c>
      <c r="G193" s="591" t="str">
        <f t="shared" si="21"/>
        <v/>
      </c>
      <c r="H193" s="551" t="str">
        <f>IF(C193="","",IF(OR($D$9=5,$D$9=11),IF(AND(D$7&gt;0,ROUNDDOWN($D$14/6,0)&gt;=30),30,""),""))</f>
        <v/>
      </c>
      <c r="I193" s="603" t="str">
        <f t="shared" si="22"/>
        <v/>
      </c>
      <c r="J193" s="574" t="str">
        <f t="shared" si="23"/>
        <v/>
      </c>
      <c r="K193" s="582" t="str">
        <f t="shared" si="18"/>
        <v/>
      </c>
      <c r="L193" s="593" t="str">
        <f>IF(OR(L192=0,L192=""),"",IF(AND(H193="",C193=""),"",IF(COUNT(H193:H198)&gt;0,L192-IF(I193="",0,I193),"")))</f>
        <v/>
      </c>
    </row>
    <row r="194" spans="2:12">
      <c r="B194" s="540">
        <v>176</v>
      </c>
      <c r="C194" s="551" t="str">
        <f t="shared" si="16"/>
        <v/>
      </c>
      <c r="D194" s="565" t="str">
        <f t="shared" si="19"/>
        <v/>
      </c>
      <c r="E194" s="574" t="str">
        <f t="shared" si="20"/>
        <v/>
      </c>
      <c r="F194" s="580" t="str">
        <f t="shared" si="17"/>
        <v/>
      </c>
      <c r="G194" s="591" t="str">
        <f t="shared" si="21"/>
        <v/>
      </c>
      <c r="H194" s="551" t="str">
        <f>IF(C194="","",IF(OR($D$9=4,$D$9=10),IF(AND(D$7&gt;0,ROUNDDOWN($D$14/6,0)&gt;=30),30,""),""))</f>
        <v/>
      </c>
      <c r="I194" s="604" t="str">
        <f t="shared" si="22"/>
        <v/>
      </c>
      <c r="J194" s="574" t="str">
        <f t="shared" si="23"/>
        <v/>
      </c>
      <c r="K194" s="580" t="str">
        <f t="shared" si="18"/>
        <v/>
      </c>
      <c r="L194" s="591" t="str">
        <f>IF(OR(L193=0,L193=""),"",IF(AND(H194="",C194=""),"",IF(COUNT(H193:H198)&gt;0,L193-IF(I194="",0,I194),"")))</f>
        <v/>
      </c>
    </row>
    <row r="195" spans="2:12">
      <c r="B195" s="540">
        <v>177</v>
      </c>
      <c r="C195" s="551" t="str">
        <f t="shared" si="16"/>
        <v/>
      </c>
      <c r="D195" s="565" t="str">
        <f t="shared" si="19"/>
        <v/>
      </c>
      <c r="E195" s="574" t="str">
        <f t="shared" si="20"/>
        <v/>
      </c>
      <c r="F195" s="580" t="str">
        <f t="shared" si="17"/>
        <v/>
      </c>
      <c r="G195" s="591" t="str">
        <f t="shared" si="21"/>
        <v/>
      </c>
      <c r="H195" s="551" t="str">
        <f>IF(C195="","",IF(OR($D$9=3,$D$9=9),IF(AND(D$7&gt;0,ROUNDDOWN($D$14/6,0)&gt;=30),30,""),""))</f>
        <v/>
      </c>
      <c r="I195" s="604" t="str">
        <f t="shared" si="22"/>
        <v/>
      </c>
      <c r="J195" s="574" t="str">
        <f t="shared" si="23"/>
        <v/>
      </c>
      <c r="K195" s="580" t="str">
        <f t="shared" si="18"/>
        <v/>
      </c>
      <c r="L195" s="591" t="str">
        <f>IF(OR(L194=0,L194=""),"",IF(AND(H195="",C195=""),"",IF(COUNT(H193:H198)&gt;0,L194-IF(I195="",0,I195),"")))</f>
        <v/>
      </c>
    </row>
    <row r="196" spans="2:12">
      <c r="B196" s="540">
        <v>178</v>
      </c>
      <c r="C196" s="551" t="str">
        <f t="shared" si="16"/>
        <v/>
      </c>
      <c r="D196" s="565" t="str">
        <f t="shared" si="19"/>
        <v/>
      </c>
      <c r="E196" s="574" t="str">
        <f t="shared" si="20"/>
        <v/>
      </c>
      <c r="F196" s="580" t="str">
        <f t="shared" si="17"/>
        <v/>
      </c>
      <c r="G196" s="591" t="str">
        <f t="shared" si="21"/>
        <v/>
      </c>
      <c r="H196" s="551" t="str">
        <f>IF(C196="","",IF(OR($D$9=2,$D$9=8),IF(AND(D$7&gt;0,ROUNDDOWN($D$14/6,0)&gt;=30),30,""),""))</f>
        <v/>
      </c>
      <c r="I196" s="604" t="str">
        <f t="shared" si="22"/>
        <v/>
      </c>
      <c r="J196" s="574" t="str">
        <f t="shared" si="23"/>
        <v/>
      </c>
      <c r="K196" s="580" t="str">
        <f t="shared" si="18"/>
        <v/>
      </c>
      <c r="L196" s="591" t="str">
        <f>IF(OR(L195=0,L195=""),"",IF(AND(H196="",C196=""),"",IF(COUNT(H193:H198)&gt;0,L195-IF(I196="",0,I196),"")))</f>
        <v/>
      </c>
    </row>
    <row r="197" spans="2:12">
      <c r="B197" s="540">
        <v>179</v>
      </c>
      <c r="C197" s="551" t="str">
        <f t="shared" si="16"/>
        <v/>
      </c>
      <c r="D197" s="565" t="str">
        <f t="shared" si="19"/>
        <v/>
      </c>
      <c r="E197" s="574" t="str">
        <f t="shared" si="20"/>
        <v/>
      </c>
      <c r="F197" s="580" t="str">
        <f t="shared" si="17"/>
        <v/>
      </c>
      <c r="G197" s="591" t="str">
        <f t="shared" si="21"/>
        <v/>
      </c>
      <c r="H197" s="551" t="str">
        <f>IF(C197="","",IF(OR($D$9=1,$D$9=7),IF(AND(D$7&gt;0,ROUNDDOWN($D$14/6,0)&gt;=30),30,""),""))</f>
        <v/>
      </c>
      <c r="I197" s="604" t="str">
        <f t="shared" si="22"/>
        <v/>
      </c>
      <c r="J197" s="574" t="str">
        <f t="shared" si="23"/>
        <v/>
      </c>
      <c r="K197" s="580" t="str">
        <f t="shared" si="18"/>
        <v/>
      </c>
      <c r="L197" s="591" t="str">
        <f>IF(OR(L196=0,L196=""),"",IF(AND(H197="",C197=""),"",IF(COUNT(H193:H198)&gt;0,L196-IF(I197="",0,I197),"")))</f>
        <v/>
      </c>
    </row>
    <row r="198" spans="2:12">
      <c r="B198" s="540">
        <v>180</v>
      </c>
      <c r="C198" s="551" t="str">
        <f t="shared" si="16"/>
        <v/>
      </c>
      <c r="D198" s="565" t="str">
        <f t="shared" si="19"/>
        <v/>
      </c>
      <c r="E198" s="574" t="str">
        <f t="shared" si="20"/>
        <v/>
      </c>
      <c r="F198" s="580" t="str">
        <f t="shared" si="17"/>
        <v/>
      </c>
      <c r="G198" s="591" t="str">
        <f t="shared" si="21"/>
        <v/>
      </c>
      <c r="H198" s="551" t="str">
        <f>IF(C198="","",IF(OR($D$9=12,$D$9=6),IF(AND(D$7&gt;0,ROUNDDOWN($D$14/6,0)&gt;=30),30,""),""))</f>
        <v/>
      </c>
      <c r="I198" s="605" t="str">
        <f t="shared" si="22"/>
        <v/>
      </c>
      <c r="J198" s="575" t="str">
        <f t="shared" si="23"/>
        <v/>
      </c>
      <c r="K198" s="581" t="str">
        <f t="shared" si="18"/>
        <v/>
      </c>
      <c r="L198" s="592" t="str">
        <f>IF(OR(L197=0,L197=""),"",IF(AND(H198="",C198=""),"",IF(COUNT(H193:H198)&gt;0,L197-IF(I198="",0,I198),"")))</f>
        <v/>
      </c>
    </row>
    <row r="199" spans="2:12">
      <c r="B199" s="540">
        <v>181</v>
      </c>
      <c r="C199" s="553" t="str">
        <f t="shared" si="16"/>
        <v/>
      </c>
      <c r="D199" s="567" t="str">
        <f t="shared" si="19"/>
        <v/>
      </c>
      <c r="E199" s="576" t="str">
        <f t="shared" si="20"/>
        <v/>
      </c>
      <c r="F199" s="582" t="str">
        <f t="shared" si="17"/>
        <v/>
      </c>
      <c r="G199" s="593" t="str">
        <f t="shared" si="21"/>
        <v/>
      </c>
      <c r="H199" s="553" t="str">
        <f>IF(C199="","",IF(OR($D$9=5,$D$9=11),IF(AND(D$7&gt;0,ROUNDDOWN($D$14/6,0)&gt;=31),31,""),""))</f>
        <v/>
      </c>
      <c r="I199" s="603" t="str">
        <f t="shared" si="22"/>
        <v/>
      </c>
      <c r="J199" s="574" t="str">
        <f t="shared" si="23"/>
        <v/>
      </c>
      <c r="K199" s="582" t="str">
        <f t="shared" si="18"/>
        <v/>
      </c>
      <c r="L199" s="593" t="str">
        <f>IF(OR(L198=0,L198=""),"",IF(AND(H199="",C199=""),"",IF(COUNT(H199:H204)&gt;0,L198-IF(I199="",0,I199),"")))</f>
        <v/>
      </c>
    </row>
    <row r="200" spans="2:12">
      <c r="B200" s="540">
        <v>182</v>
      </c>
      <c r="C200" s="551" t="str">
        <f t="shared" si="16"/>
        <v/>
      </c>
      <c r="D200" s="565" t="str">
        <f t="shared" si="19"/>
        <v/>
      </c>
      <c r="E200" s="574" t="str">
        <f t="shared" si="20"/>
        <v/>
      </c>
      <c r="F200" s="580" t="str">
        <f t="shared" si="17"/>
        <v/>
      </c>
      <c r="G200" s="591" t="str">
        <f t="shared" si="21"/>
        <v/>
      </c>
      <c r="H200" s="551" t="str">
        <f>IF(C200="","",IF(OR($D$9=4,$D$9=10),IF(AND(D$7&gt;0,ROUNDDOWN($D$14/6,0)&gt;=31),31,""),""))</f>
        <v/>
      </c>
      <c r="I200" s="604" t="str">
        <f t="shared" si="22"/>
        <v/>
      </c>
      <c r="J200" s="574" t="str">
        <f t="shared" si="23"/>
        <v/>
      </c>
      <c r="K200" s="580" t="str">
        <f t="shared" si="18"/>
        <v/>
      </c>
      <c r="L200" s="591" t="str">
        <f>IF(OR(L199=0,L199=""),"",IF(AND(H200="",C200=""),"",IF(COUNT(H199:H204)&gt;0,L199-IF(I200="",0,I200),"")))</f>
        <v/>
      </c>
    </row>
    <row r="201" spans="2:12">
      <c r="B201" s="540">
        <v>183</v>
      </c>
      <c r="C201" s="551" t="str">
        <f t="shared" si="16"/>
        <v/>
      </c>
      <c r="D201" s="565" t="str">
        <f t="shared" si="19"/>
        <v/>
      </c>
      <c r="E201" s="574" t="str">
        <f t="shared" si="20"/>
        <v/>
      </c>
      <c r="F201" s="580" t="str">
        <f t="shared" si="17"/>
        <v/>
      </c>
      <c r="G201" s="591" t="str">
        <f t="shared" si="21"/>
        <v/>
      </c>
      <c r="H201" s="551" t="str">
        <f>IF(C201="","",IF(OR($D$9=3,$D$9=9),IF(AND(D$7&gt;0,ROUNDDOWN($D$14/6,0)&gt;=31),31,""),""))</f>
        <v/>
      </c>
      <c r="I201" s="604" t="str">
        <f t="shared" si="22"/>
        <v/>
      </c>
      <c r="J201" s="574" t="str">
        <f t="shared" si="23"/>
        <v/>
      </c>
      <c r="K201" s="580" t="str">
        <f t="shared" si="18"/>
        <v/>
      </c>
      <c r="L201" s="591" t="str">
        <f>IF(OR(L200=0,L200=""),"",IF(AND(H201="",C201=""),"",IF(COUNT(H199:H204)&gt;0,L200-IF(I201="",0,I201),"")))</f>
        <v/>
      </c>
    </row>
    <row r="202" spans="2:12">
      <c r="B202" s="540">
        <v>184</v>
      </c>
      <c r="C202" s="551" t="str">
        <f t="shared" si="16"/>
        <v/>
      </c>
      <c r="D202" s="565" t="str">
        <f t="shared" si="19"/>
        <v/>
      </c>
      <c r="E202" s="574" t="str">
        <f t="shared" si="20"/>
        <v/>
      </c>
      <c r="F202" s="580" t="str">
        <f t="shared" si="17"/>
        <v/>
      </c>
      <c r="G202" s="591" t="str">
        <f t="shared" si="21"/>
        <v/>
      </c>
      <c r="H202" s="551" t="str">
        <f>IF(C202="","",IF(OR($D$9=2,$D$9=8),IF(AND(D$7&gt;0,ROUNDDOWN($D$14/6,0)&gt;=31),31,""),""))</f>
        <v/>
      </c>
      <c r="I202" s="604" t="str">
        <f t="shared" si="22"/>
        <v/>
      </c>
      <c r="J202" s="574" t="str">
        <f t="shared" si="23"/>
        <v/>
      </c>
      <c r="K202" s="580" t="str">
        <f t="shared" si="18"/>
        <v/>
      </c>
      <c r="L202" s="591" t="str">
        <f>IF(OR(L201=0,L201=""),"",IF(AND(H202="",C202=""),"",IF(COUNT(H199:H204)&gt;0,L201-IF(I202="",0,I202),"")))</f>
        <v/>
      </c>
    </row>
    <row r="203" spans="2:12">
      <c r="B203" s="540">
        <v>185</v>
      </c>
      <c r="C203" s="551" t="str">
        <f t="shared" si="16"/>
        <v/>
      </c>
      <c r="D203" s="565" t="str">
        <f t="shared" si="19"/>
        <v/>
      </c>
      <c r="E203" s="574" t="str">
        <f t="shared" si="20"/>
        <v/>
      </c>
      <c r="F203" s="580" t="str">
        <f t="shared" si="17"/>
        <v/>
      </c>
      <c r="G203" s="591" t="str">
        <f t="shared" si="21"/>
        <v/>
      </c>
      <c r="H203" s="551" t="str">
        <f>IF(C203="","",IF(OR($D$9=1,$D$9=7),IF(AND(D$7&gt;0,ROUNDDOWN($D$14/6,0)&gt;=31),31,""),""))</f>
        <v/>
      </c>
      <c r="I203" s="604" t="str">
        <f t="shared" si="22"/>
        <v/>
      </c>
      <c r="J203" s="574" t="str">
        <f t="shared" si="23"/>
        <v/>
      </c>
      <c r="K203" s="580" t="str">
        <f t="shared" si="18"/>
        <v/>
      </c>
      <c r="L203" s="591" t="str">
        <f>IF(OR(L202=0,L202=""),"",IF(AND(H203="",C203=""),"",IF(COUNT(H199:H204)&gt;0,L202-IF(I203="",0,I203),"")))</f>
        <v/>
      </c>
    </row>
    <row r="204" spans="2:12">
      <c r="B204" s="540">
        <v>186</v>
      </c>
      <c r="C204" s="552" t="str">
        <f t="shared" si="16"/>
        <v/>
      </c>
      <c r="D204" s="566" t="str">
        <f t="shared" si="19"/>
        <v/>
      </c>
      <c r="E204" s="575" t="str">
        <f t="shared" si="20"/>
        <v/>
      </c>
      <c r="F204" s="581" t="str">
        <f t="shared" si="17"/>
        <v/>
      </c>
      <c r="G204" s="592" t="str">
        <f t="shared" si="21"/>
        <v/>
      </c>
      <c r="H204" s="552" t="str">
        <f>IF(C204="","",IF(OR($D$9=12,$D$9=6),IF(AND(D$7&gt;0,ROUNDDOWN($D$14/6,0)&gt;=31),31,""),""))</f>
        <v/>
      </c>
      <c r="I204" s="605" t="str">
        <f t="shared" si="22"/>
        <v/>
      </c>
      <c r="J204" s="575" t="str">
        <f t="shared" si="23"/>
        <v/>
      </c>
      <c r="K204" s="581" t="str">
        <f t="shared" si="18"/>
        <v/>
      </c>
      <c r="L204" s="592" t="str">
        <f>IF(OR(L203=0,L203=""),"",IF(AND(H204="",C204=""),"",IF(COUNT(H199:H204)&gt;0,L203-IF(I204="",0,I204),"")))</f>
        <v/>
      </c>
    </row>
    <row r="205" spans="2:12">
      <c r="B205" s="540">
        <v>187</v>
      </c>
      <c r="C205" s="551" t="str">
        <f t="shared" si="16"/>
        <v/>
      </c>
      <c r="D205" s="565" t="str">
        <f t="shared" si="19"/>
        <v/>
      </c>
      <c r="E205" s="574" t="str">
        <f t="shared" si="20"/>
        <v/>
      </c>
      <c r="F205" s="580" t="str">
        <f t="shared" si="17"/>
        <v/>
      </c>
      <c r="G205" s="591" t="str">
        <f t="shared" si="21"/>
        <v/>
      </c>
      <c r="H205" s="551" t="str">
        <f>IF(C205="","",IF(OR($D$9=5,$D$9=11),IF(AND(D$7&gt;0,ROUNDDOWN($D$14/6,0)&gt;=32),32,""),""))</f>
        <v/>
      </c>
      <c r="I205" s="603" t="str">
        <f t="shared" si="22"/>
        <v/>
      </c>
      <c r="J205" s="574" t="str">
        <f t="shared" si="23"/>
        <v/>
      </c>
      <c r="K205" s="582" t="str">
        <f t="shared" si="18"/>
        <v/>
      </c>
      <c r="L205" s="593" t="str">
        <f>IF(OR(L204=0,L204=""),"",IF(AND(H205="",C205=""),"",IF(COUNT(H205:H210)&gt;0,L204-IF(I205="",0,I205),"")))</f>
        <v/>
      </c>
    </row>
    <row r="206" spans="2:12">
      <c r="B206" s="540">
        <v>188</v>
      </c>
      <c r="C206" s="551" t="str">
        <f t="shared" si="16"/>
        <v/>
      </c>
      <c r="D206" s="565" t="str">
        <f t="shared" si="19"/>
        <v/>
      </c>
      <c r="E206" s="574" t="str">
        <f t="shared" si="20"/>
        <v/>
      </c>
      <c r="F206" s="580" t="str">
        <f t="shared" si="17"/>
        <v/>
      </c>
      <c r="G206" s="591" t="str">
        <f t="shared" si="21"/>
        <v/>
      </c>
      <c r="H206" s="551" t="str">
        <f>IF(C206="","",IF(OR($D$9=4,$D$9=10),IF(AND(D$7&gt;0,ROUNDDOWN($D$14/6,0)&gt;=32),32,""),""))</f>
        <v/>
      </c>
      <c r="I206" s="604" t="str">
        <f t="shared" si="22"/>
        <v/>
      </c>
      <c r="J206" s="574" t="str">
        <f t="shared" si="23"/>
        <v/>
      </c>
      <c r="K206" s="580" t="str">
        <f t="shared" si="18"/>
        <v/>
      </c>
      <c r="L206" s="591" t="str">
        <f>IF(OR(L205=0,L205=""),"",IF(AND(H206="",C206=""),"",IF(COUNT(H205:H210)&gt;0,L205-IF(I206="",0,I206),"")))</f>
        <v/>
      </c>
    </row>
    <row r="207" spans="2:12">
      <c r="B207" s="540">
        <v>189</v>
      </c>
      <c r="C207" s="551" t="str">
        <f t="shared" si="16"/>
        <v/>
      </c>
      <c r="D207" s="565" t="str">
        <f t="shared" si="19"/>
        <v/>
      </c>
      <c r="E207" s="574" t="str">
        <f t="shared" si="20"/>
        <v/>
      </c>
      <c r="F207" s="580" t="str">
        <f t="shared" si="17"/>
        <v/>
      </c>
      <c r="G207" s="591" t="str">
        <f t="shared" si="21"/>
        <v/>
      </c>
      <c r="H207" s="551" t="str">
        <f>IF(C207="","",IF(OR($D$9=3,$D$9=9),IF(AND(D$7&gt;0,ROUNDDOWN($D$14/6,0)&gt;=32),32,""),""))</f>
        <v/>
      </c>
      <c r="I207" s="604" t="str">
        <f t="shared" si="22"/>
        <v/>
      </c>
      <c r="J207" s="574" t="str">
        <f t="shared" si="23"/>
        <v/>
      </c>
      <c r="K207" s="580" t="str">
        <f t="shared" si="18"/>
        <v/>
      </c>
      <c r="L207" s="591" t="str">
        <f>IF(OR(L206=0,L206=""),"",IF(AND(H207="",C207=""),"",IF(COUNT(H205:H210)&gt;0,L206-IF(I207="",0,I207),"")))</f>
        <v/>
      </c>
    </row>
    <row r="208" spans="2:12">
      <c r="B208" s="540">
        <v>190</v>
      </c>
      <c r="C208" s="551" t="str">
        <f t="shared" si="16"/>
        <v/>
      </c>
      <c r="D208" s="565" t="str">
        <f t="shared" si="19"/>
        <v/>
      </c>
      <c r="E208" s="574" t="str">
        <f t="shared" si="20"/>
        <v/>
      </c>
      <c r="F208" s="580" t="str">
        <f t="shared" si="17"/>
        <v/>
      </c>
      <c r="G208" s="591" t="str">
        <f t="shared" si="21"/>
        <v/>
      </c>
      <c r="H208" s="551" t="str">
        <f>IF(C208="","",IF(OR($D$9=2,$D$9=8),IF(AND(D$7&gt;0,ROUNDDOWN($D$14/6,0)&gt;=32),32,""),""))</f>
        <v/>
      </c>
      <c r="I208" s="604" t="str">
        <f t="shared" si="22"/>
        <v/>
      </c>
      <c r="J208" s="574" t="str">
        <f t="shared" si="23"/>
        <v/>
      </c>
      <c r="K208" s="580" t="str">
        <f t="shared" si="18"/>
        <v/>
      </c>
      <c r="L208" s="591" t="str">
        <f>IF(OR(L207=0,L207=""),"",IF(AND(H208="",C208=""),"",IF(COUNT(H205:H210)&gt;0,L207-IF(I208="",0,I208),"")))</f>
        <v/>
      </c>
    </row>
    <row r="209" spans="2:12">
      <c r="B209" s="540">
        <v>191</v>
      </c>
      <c r="C209" s="551" t="str">
        <f t="shared" si="16"/>
        <v/>
      </c>
      <c r="D209" s="565" t="str">
        <f t="shared" si="19"/>
        <v/>
      </c>
      <c r="E209" s="574" t="str">
        <f t="shared" si="20"/>
        <v/>
      </c>
      <c r="F209" s="580" t="str">
        <f t="shared" si="17"/>
        <v/>
      </c>
      <c r="G209" s="591" t="str">
        <f t="shared" si="21"/>
        <v/>
      </c>
      <c r="H209" s="551" t="str">
        <f>IF(C209="","",IF(OR($D$9=1,$D$9=7),IF(AND(D$7&gt;0,ROUNDDOWN($D$14/6,0)&gt;=32),32,""),""))</f>
        <v/>
      </c>
      <c r="I209" s="604" t="str">
        <f t="shared" si="22"/>
        <v/>
      </c>
      <c r="J209" s="574" t="str">
        <f t="shared" si="23"/>
        <v/>
      </c>
      <c r="K209" s="580" t="str">
        <f t="shared" si="18"/>
        <v/>
      </c>
      <c r="L209" s="591" t="str">
        <f>IF(OR(L208=0,L208=""),"",IF(AND(H209="",C209=""),"",IF(COUNT(H205:H210)&gt;0,L208-IF(I209="",0,I209),"")))</f>
        <v/>
      </c>
    </row>
    <row r="210" spans="2:12">
      <c r="B210" s="540">
        <v>192</v>
      </c>
      <c r="C210" s="551" t="str">
        <f t="shared" si="16"/>
        <v/>
      </c>
      <c r="D210" s="565" t="str">
        <f t="shared" si="19"/>
        <v/>
      </c>
      <c r="E210" s="574" t="str">
        <f t="shared" si="20"/>
        <v/>
      </c>
      <c r="F210" s="580" t="str">
        <f t="shared" si="17"/>
        <v/>
      </c>
      <c r="G210" s="591" t="str">
        <f t="shared" si="21"/>
        <v/>
      </c>
      <c r="H210" s="551" t="str">
        <f>IF(C210="","",IF(OR($D$9=12,$D$9=6),IF(AND(D$7&gt;0,ROUNDDOWN($D$14/6,0)&gt;=32),32,""),""))</f>
        <v/>
      </c>
      <c r="I210" s="605" t="str">
        <f t="shared" si="22"/>
        <v/>
      </c>
      <c r="J210" s="575" t="str">
        <f t="shared" si="23"/>
        <v/>
      </c>
      <c r="K210" s="581" t="str">
        <f t="shared" si="18"/>
        <v/>
      </c>
      <c r="L210" s="592" t="str">
        <f>IF(OR(L209=0,L209=""),"",IF(AND(H210="",C210=""),"",IF(COUNT(H205:H210)&gt;0,L209-IF(I210="",0,I210),"")))</f>
        <v/>
      </c>
    </row>
    <row r="211" spans="2:12">
      <c r="B211" s="540">
        <v>193</v>
      </c>
      <c r="C211" s="553" t="str">
        <f t="shared" ref="C211:C274" si="24">IF($D$14&gt;=B211,B211,"")</f>
        <v/>
      </c>
      <c r="D211" s="567" t="str">
        <f t="shared" si="19"/>
        <v/>
      </c>
      <c r="E211" s="576" t="str">
        <f t="shared" si="20"/>
        <v/>
      </c>
      <c r="F211" s="582" t="str">
        <f t="shared" ref="F211:F274" si="25">IF(C211="","",D211+E211)</f>
        <v/>
      </c>
      <c r="G211" s="593" t="str">
        <f t="shared" si="21"/>
        <v/>
      </c>
      <c r="H211" s="553" t="str">
        <f>IF(C211="","",IF(OR($D$9=5,$D$9=11),IF(AND(D$7&gt;0,ROUNDDOWN($D$14/6,0)&gt;=33),33,""),""))</f>
        <v/>
      </c>
      <c r="I211" s="603" t="str">
        <f t="shared" si="22"/>
        <v/>
      </c>
      <c r="J211" s="574" t="str">
        <f t="shared" si="23"/>
        <v/>
      </c>
      <c r="K211" s="582" t="str">
        <f t="shared" ref="K211:K274" si="26">IF(H211="","",I211+J211)</f>
        <v/>
      </c>
      <c r="L211" s="593" t="str">
        <f>IF(OR(L210=0,L210=""),"",IF(AND(H211="",C211=""),"",IF(COUNT(H211:H216)&gt;0,L210-IF(I211="",0,I211),"")))</f>
        <v/>
      </c>
    </row>
    <row r="212" spans="2:12">
      <c r="B212" s="540">
        <v>194</v>
      </c>
      <c r="C212" s="551" t="str">
        <f t="shared" si="24"/>
        <v/>
      </c>
      <c r="D212" s="565" t="str">
        <f t="shared" ref="D212:D275" si="27">IF(C212="","",IF(C212=$D$14,G211,ROUNDDOWN($D$8/$D$14,0)))</f>
        <v/>
      </c>
      <c r="E212" s="574" t="str">
        <f t="shared" ref="E212:E275" si="28">IF(C212="","",ROUNDDOWN(G211*$D$13,0))</f>
        <v/>
      </c>
      <c r="F212" s="580" t="str">
        <f t="shared" si="25"/>
        <v/>
      </c>
      <c r="G212" s="591" t="str">
        <f t="shared" ref="G212:G275" si="29">IF(C212="","",G211-D212)</f>
        <v/>
      </c>
      <c r="H212" s="551" t="str">
        <f>IF(C212="","",IF(OR($D$9=4,$D$9=10),IF(AND(D$7&gt;0,ROUNDDOWN($D$14/6,0)&gt;=33),33,""),""))</f>
        <v/>
      </c>
      <c r="I212" s="604" t="str">
        <f t="shared" ref="I212:I275" si="30">IF(H212="","",IF(H212&gt;0,IF(H218="",L211,ROUNDDOWN($D$7/COUNT(H$19:H$378),0)),""))</f>
        <v/>
      </c>
      <c r="J212" s="574" t="str">
        <f t="shared" si="23"/>
        <v/>
      </c>
      <c r="K212" s="580" t="str">
        <f t="shared" si="26"/>
        <v/>
      </c>
      <c r="L212" s="591" t="str">
        <f>IF(OR(L211=0,L211=""),"",IF(AND(H212="",C212=""),"",IF(COUNT(H211:H216)&gt;0,L211-IF(I212="",0,I212),"")))</f>
        <v/>
      </c>
    </row>
    <row r="213" spans="2:12">
      <c r="B213" s="540">
        <v>195</v>
      </c>
      <c r="C213" s="551" t="str">
        <f t="shared" si="24"/>
        <v/>
      </c>
      <c r="D213" s="565" t="str">
        <f t="shared" si="27"/>
        <v/>
      </c>
      <c r="E213" s="574" t="str">
        <f t="shared" si="28"/>
        <v/>
      </c>
      <c r="F213" s="580" t="str">
        <f t="shared" si="25"/>
        <v/>
      </c>
      <c r="G213" s="591" t="str">
        <f t="shared" si="29"/>
        <v/>
      </c>
      <c r="H213" s="551" t="str">
        <f>IF(C213="","",IF(OR($D$9=3,$D$9=9),IF(AND(D$7&gt;0,ROUNDDOWN($D$14/6,0)&gt;=33),33,""),""))</f>
        <v/>
      </c>
      <c r="I213" s="604" t="str">
        <f t="shared" si="30"/>
        <v/>
      </c>
      <c r="J213" s="574" t="str">
        <f t="shared" si="23"/>
        <v/>
      </c>
      <c r="K213" s="580" t="str">
        <f t="shared" si="26"/>
        <v/>
      </c>
      <c r="L213" s="591" t="str">
        <f>IF(OR(L212=0,L212=""),"",IF(AND(H213="",C213=""),"",IF(COUNT(H211:H216)&gt;0,L212-IF(I213="",0,I213),"")))</f>
        <v/>
      </c>
    </row>
    <row r="214" spans="2:12">
      <c r="B214" s="540">
        <v>196</v>
      </c>
      <c r="C214" s="551" t="str">
        <f t="shared" si="24"/>
        <v/>
      </c>
      <c r="D214" s="565" t="str">
        <f t="shared" si="27"/>
        <v/>
      </c>
      <c r="E214" s="574" t="str">
        <f t="shared" si="28"/>
        <v/>
      </c>
      <c r="F214" s="580" t="str">
        <f t="shared" si="25"/>
        <v/>
      </c>
      <c r="G214" s="591" t="str">
        <f t="shared" si="29"/>
        <v/>
      </c>
      <c r="H214" s="551" t="str">
        <f>IF(C214="","",IF(OR($D$9=2,$D$9=8),IF(AND(D$7&gt;0,ROUNDDOWN($D$14/6,0)&gt;=33),33,""),""))</f>
        <v/>
      </c>
      <c r="I214" s="604" t="str">
        <f t="shared" si="30"/>
        <v/>
      </c>
      <c r="J214" s="574" t="str">
        <f t="shared" si="23"/>
        <v/>
      </c>
      <c r="K214" s="580" t="str">
        <f t="shared" si="26"/>
        <v/>
      </c>
      <c r="L214" s="591" t="str">
        <f>IF(OR(L213=0,L213=""),"",IF(AND(H214="",C214=""),"",IF(COUNT(H211:H216)&gt;0,L213-IF(I214="",0,I214),"")))</f>
        <v/>
      </c>
    </row>
    <row r="215" spans="2:12">
      <c r="B215" s="540">
        <v>197</v>
      </c>
      <c r="C215" s="551" t="str">
        <f t="shared" si="24"/>
        <v/>
      </c>
      <c r="D215" s="565" t="str">
        <f t="shared" si="27"/>
        <v/>
      </c>
      <c r="E215" s="574" t="str">
        <f t="shared" si="28"/>
        <v/>
      </c>
      <c r="F215" s="580" t="str">
        <f t="shared" si="25"/>
        <v/>
      </c>
      <c r="G215" s="591" t="str">
        <f t="shared" si="29"/>
        <v/>
      </c>
      <c r="H215" s="551" t="str">
        <f>IF(C215="","",IF(OR($D$9=1,$D$9=7),IF(AND(D$7&gt;0,ROUNDDOWN($D$14/6,0)&gt;=33),33,""),""))</f>
        <v/>
      </c>
      <c r="I215" s="604" t="str">
        <f t="shared" si="30"/>
        <v/>
      </c>
      <c r="J215" s="574" t="str">
        <f t="shared" si="23"/>
        <v/>
      </c>
      <c r="K215" s="580" t="str">
        <f t="shared" si="26"/>
        <v/>
      </c>
      <c r="L215" s="591" t="str">
        <f>IF(OR(L214=0,L214=""),"",IF(AND(H215="",C215=""),"",IF(COUNT(H211:H216)&gt;0,L214-IF(I215="",0,I215),"")))</f>
        <v/>
      </c>
    </row>
    <row r="216" spans="2:12">
      <c r="B216" s="540">
        <v>198</v>
      </c>
      <c r="C216" s="552" t="str">
        <f t="shared" si="24"/>
        <v/>
      </c>
      <c r="D216" s="566" t="str">
        <f t="shared" si="27"/>
        <v/>
      </c>
      <c r="E216" s="575" t="str">
        <f t="shared" si="28"/>
        <v/>
      </c>
      <c r="F216" s="581" t="str">
        <f t="shared" si="25"/>
        <v/>
      </c>
      <c r="G216" s="592" t="str">
        <f t="shared" si="29"/>
        <v/>
      </c>
      <c r="H216" s="552" t="str">
        <f>IF(C216="","",IF(OR($D$9=12,$D$9=6),IF(AND(D$7&gt;0,ROUNDDOWN($D$14/6,0)&gt;=33),33,""),""))</f>
        <v/>
      </c>
      <c r="I216" s="605" t="str">
        <f t="shared" si="30"/>
        <v/>
      </c>
      <c r="J216" s="575" t="str">
        <f t="shared" si="23"/>
        <v/>
      </c>
      <c r="K216" s="581" t="str">
        <f t="shared" si="26"/>
        <v/>
      </c>
      <c r="L216" s="592" t="str">
        <f>IF(OR(L215=0,L215=""),"",IF(AND(H216="",C216=""),"",IF(COUNT(H211:H216)&gt;0,L215-IF(I216="",0,I216),"")))</f>
        <v/>
      </c>
    </row>
    <row r="217" spans="2:12">
      <c r="B217" s="540">
        <v>199</v>
      </c>
      <c r="C217" s="551" t="str">
        <f t="shared" si="24"/>
        <v/>
      </c>
      <c r="D217" s="565" t="str">
        <f t="shared" si="27"/>
        <v/>
      </c>
      <c r="E217" s="574" t="str">
        <f t="shared" si="28"/>
        <v/>
      </c>
      <c r="F217" s="580" t="str">
        <f t="shared" si="25"/>
        <v/>
      </c>
      <c r="G217" s="591" t="str">
        <f t="shared" si="29"/>
        <v/>
      </c>
      <c r="H217" s="551" t="str">
        <f>IF(C217="","",IF(OR($D$9=5,$D$9=11),IF(AND(D$7&gt;0,ROUNDDOWN($D$14/6,0)&gt;=34),34,""),""))</f>
        <v/>
      </c>
      <c r="I217" s="603" t="str">
        <f t="shared" si="30"/>
        <v/>
      </c>
      <c r="J217" s="574" t="str">
        <f t="shared" ref="J217:J280" si="31">IF(H217="","",ROUNDDOWN(L216*$D$12,0))</f>
        <v/>
      </c>
      <c r="K217" s="582" t="str">
        <f t="shared" si="26"/>
        <v/>
      </c>
      <c r="L217" s="593" t="str">
        <f>IF(OR(L216=0,L216=""),"",IF(AND(H217="",C217=""),"",IF(COUNT(H217:H222)&gt;0,L216-IF(I217="",0,I217),"")))</f>
        <v/>
      </c>
    </row>
    <row r="218" spans="2:12">
      <c r="B218" s="540">
        <v>200</v>
      </c>
      <c r="C218" s="551" t="str">
        <f t="shared" si="24"/>
        <v/>
      </c>
      <c r="D218" s="565" t="str">
        <f t="shared" si="27"/>
        <v/>
      </c>
      <c r="E218" s="574" t="str">
        <f t="shared" si="28"/>
        <v/>
      </c>
      <c r="F218" s="580" t="str">
        <f t="shared" si="25"/>
        <v/>
      </c>
      <c r="G218" s="591" t="str">
        <f t="shared" si="29"/>
        <v/>
      </c>
      <c r="H218" s="551" t="str">
        <f>IF(C218="","",IF(OR($D$9=4,$D$9=10),IF(AND(D$7&gt;0,ROUNDDOWN($D$14/6,0)&gt;=34),34,""),""))</f>
        <v/>
      </c>
      <c r="I218" s="604" t="str">
        <f t="shared" si="30"/>
        <v/>
      </c>
      <c r="J218" s="574" t="str">
        <f t="shared" si="31"/>
        <v/>
      </c>
      <c r="K218" s="580" t="str">
        <f t="shared" si="26"/>
        <v/>
      </c>
      <c r="L218" s="591" t="str">
        <f>IF(OR(L217=0,L217=""),"",IF(AND(H218="",C218=""),"",IF(COUNT(H217:H222)&gt;0,L217-IF(I218="",0,I218),"")))</f>
        <v/>
      </c>
    </row>
    <row r="219" spans="2:12">
      <c r="B219" s="540">
        <v>201</v>
      </c>
      <c r="C219" s="551" t="str">
        <f t="shared" si="24"/>
        <v/>
      </c>
      <c r="D219" s="565" t="str">
        <f t="shared" si="27"/>
        <v/>
      </c>
      <c r="E219" s="574" t="str">
        <f t="shared" si="28"/>
        <v/>
      </c>
      <c r="F219" s="580" t="str">
        <f t="shared" si="25"/>
        <v/>
      </c>
      <c r="G219" s="591" t="str">
        <f t="shared" si="29"/>
        <v/>
      </c>
      <c r="H219" s="551" t="str">
        <f>IF(C219="","",IF(OR($D$9=3,$D$9=9),IF(AND(D$7&gt;0,ROUNDDOWN($D$14/6,0)&gt;=34),34,""),""))</f>
        <v/>
      </c>
      <c r="I219" s="604" t="str">
        <f t="shared" si="30"/>
        <v/>
      </c>
      <c r="J219" s="574" t="str">
        <f t="shared" si="31"/>
        <v/>
      </c>
      <c r="K219" s="580" t="str">
        <f t="shared" si="26"/>
        <v/>
      </c>
      <c r="L219" s="591" t="str">
        <f>IF(OR(L218=0,L218=""),"",IF(AND(H219="",C219=""),"",IF(COUNT(H217:H222)&gt;0,L218-IF(I219="",0,I219),"")))</f>
        <v/>
      </c>
    </row>
    <row r="220" spans="2:12">
      <c r="B220" s="540">
        <v>202</v>
      </c>
      <c r="C220" s="551" t="str">
        <f t="shared" si="24"/>
        <v/>
      </c>
      <c r="D220" s="565" t="str">
        <f t="shared" si="27"/>
        <v/>
      </c>
      <c r="E220" s="574" t="str">
        <f t="shared" si="28"/>
        <v/>
      </c>
      <c r="F220" s="580" t="str">
        <f t="shared" si="25"/>
        <v/>
      </c>
      <c r="G220" s="591" t="str">
        <f t="shared" si="29"/>
        <v/>
      </c>
      <c r="H220" s="551" t="str">
        <f>IF(C220="","",IF(OR($D$9=2,$D$9=8),IF(AND(D$7&gt;0,ROUNDDOWN($D$14/6,0)&gt;=34),34,""),""))</f>
        <v/>
      </c>
      <c r="I220" s="604" t="str">
        <f t="shared" si="30"/>
        <v/>
      </c>
      <c r="J220" s="574" t="str">
        <f t="shared" si="31"/>
        <v/>
      </c>
      <c r="K220" s="580" t="str">
        <f t="shared" si="26"/>
        <v/>
      </c>
      <c r="L220" s="591" t="str">
        <f>IF(OR(L219=0,L219=""),"",IF(AND(H220="",C220=""),"",IF(COUNT(H217:H222)&gt;0,L219-IF(I220="",0,I220),"")))</f>
        <v/>
      </c>
    </row>
    <row r="221" spans="2:12">
      <c r="B221" s="540">
        <v>203</v>
      </c>
      <c r="C221" s="551" t="str">
        <f t="shared" si="24"/>
        <v/>
      </c>
      <c r="D221" s="565" t="str">
        <f t="shared" si="27"/>
        <v/>
      </c>
      <c r="E221" s="574" t="str">
        <f t="shared" si="28"/>
        <v/>
      </c>
      <c r="F221" s="580" t="str">
        <f t="shared" si="25"/>
        <v/>
      </c>
      <c r="G221" s="591" t="str">
        <f t="shared" si="29"/>
        <v/>
      </c>
      <c r="H221" s="551" t="str">
        <f>IF(C221="","",IF(OR($D$9=1,$D$9=7),IF(AND(D$7&gt;0,ROUNDDOWN($D$14/6,0)&gt;=34),34,""),""))</f>
        <v/>
      </c>
      <c r="I221" s="604" t="str">
        <f t="shared" si="30"/>
        <v/>
      </c>
      <c r="J221" s="574" t="str">
        <f t="shared" si="31"/>
        <v/>
      </c>
      <c r="K221" s="580" t="str">
        <f t="shared" si="26"/>
        <v/>
      </c>
      <c r="L221" s="591" t="str">
        <f>IF(OR(L220=0,L220=""),"",IF(AND(H221="",C221=""),"",IF(COUNT(H217:H222)&gt;0,L220-IF(I221="",0,I221),"")))</f>
        <v/>
      </c>
    </row>
    <row r="222" spans="2:12">
      <c r="B222" s="540">
        <v>204</v>
      </c>
      <c r="C222" s="551" t="str">
        <f t="shared" si="24"/>
        <v/>
      </c>
      <c r="D222" s="565" t="str">
        <f t="shared" si="27"/>
        <v/>
      </c>
      <c r="E222" s="574" t="str">
        <f t="shared" si="28"/>
        <v/>
      </c>
      <c r="F222" s="580" t="str">
        <f t="shared" si="25"/>
        <v/>
      </c>
      <c r="G222" s="591" t="str">
        <f t="shared" si="29"/>
        <v/>
      </c>
      <c r="H222" s="551" t="str">
        <f>IF(C222="","",IF(OR($D$9=12,$D$9=6),IF(AND(D$7&gt;0,ROUNDDOWN($D$14/6,0)&gt;=34),34,""),""))</f>
        <v/>
      </c>
      <c r="I222" s="605" t="str">
        <f t="shared" si="30"/>
        <v/>
      </c>
      <c r="J222" s="575" t="str">
        <f t="shared" si="31"/>
        <v/>
      </c>
      <c r="K222" s="581" t="str">
        <f t="shared" si="26"/>
        <v/>
      </c>
      <c r="L222" s="592" t="str">
        <f>IF(OR(L221=0,L221=""),"",IF(AND(H222="",C222=""),"",IF(COUNT(H217:H222)&gt;0,L221-IF(I222="",0,I222),"")))</f>
        <v/>
      </c>
    </row>
    <row r="223" spans="2:12">
      <c r="B223" s="540">
        <v>205</v>
      </c>
      <c r="C223" s="553" t="str">
        <f t="shared" si="24"/>
        <v/>
      </c>
      <c r="D223" s="567" t="str">
        <f t="shared" si="27"/>
        <v/>
      </c>
      <c r="E223" s="576" t="str">
        <f t="shared" si="28"/>
        <v/>
      </c>
      <c r="F223" s="582" t="str">
        <f t="shared" si="25"/>
        <v/>
      </c>
      <c r="G223" s="593" t="str">
        <f t="shared" si="29"/>
        <v/>
      </c>
      <c r="H223" s="553" t="str">
        <f>IF(C223="","",IF(OR($D$9=5,$D$9=11),IF(AND(D$7&gt;0,ROUNDDOWN($D$14/6,0)&gt;=35),35,""),""))</f>
        <v/>
      </c>
      <c r="I223" s="603" t="str">
        <f t="shared" si="30"/>
        <v/>
      </c>
      <c r="J223" s="574" t="str">
        <f t="shared" si="31"/>
        <v/>
      </c>
      <c r="K223" s="582" t="str">
        <f t="shared" si="26"/>
        <v/>
      </c>
      <c r="L223" s="593" t="str">
        <f>IF(OR(L222=0,L222=""),"",IF(AND(H223="",C223=""),"",IF(COUNT(H223:H228)&gt;0,L222-IF(I223="",0,I223),"")))</f>
        <v/>
      </c>
    </row>
    <row r="224" spans="2:12">
      <c r="B224" s="540">
        <v>206</v>
      </c>
      <c r="C224" s="551" t="str">
        <f t="shared" si="24"/>
        <v/>
      </c>
      <c r="D224" s="565" t="str">
        <f t="shared" si="27"/>
        <v/>
      </c>
      <c r="E224" s="574" t="str">
        <f t="shared" si="28"/>
        <v/>
      </c>
      <c r="F224" s="580" t="str">
        <f t="shared" si="25"/>
        <v/>
      </c>
      <c r="G224" s="591" t="str">
        <f t="shared" si="29"/>
        <v/>
      </c>
      <c r="H224" s="551" t="str">
        <f>IF(C224="","",IF(OR($D$9=4,$D$9=10),IF(AND(D$7&gt;0,ROUNDDOWN($D$14/6,0)&gt;=35),35,""),""))</f>
        <v/>
      </c>
      <c r="I224" s="604" t="str">
        <f t="shared" si="30"/>
        <v/>
      </c>
      <c r="J224" s="574" t="str">
        <f t="shared" si="31"/>
        <v/>
      </c>
      <c r="K224" s="580" t="str">
        <f t="shared" si="26"/>
        <v/>
      </c>
      <c r="L224" s="591" t="str">
        <f>IF(OR(L223=0,L223=""),"",IF(AND(H224="",C224=""),"",IF(COUNT(H223:H228)&gt;0,L223-IF(I224="",0,I224),"")))</f>
        <v/>
      </c>
    </row>
    <row r="225" spans="2:12">
      <c r="B225" s="540">
        <v>207</v>
      </c>
      <c r="C225" s="551" t="str">
        <f t="shared" si="24"/>
        <v/>
      </c>
      <c r="D225" s="565" t="str">
        <f t="shared" si="27"/>
        <v/>
      </c>
      <c r="E225" s="574" t="str">
        <f t="shared" si="28"/>
        <v/>
      </c>
      <c r="F225" s="580" t="str">
        <f t="shared" si="25"/>
        <v/>
      </c>
      <c r="G225" s="591" t="str">
        <f t="shared" si="29"/>
        <v/>
      </c>
      <c r="H225" s="551" t="str">
        <f>IF(C225="","",IF(OR($D$9=3,$D$9=9),IF(AND(D$7&gt;0,ROUNDDOWN($D$14/6,0)&gt;=35),35,""),""))</f>
        <v/>
      </c>
      <c r="I225" s="604" t="str">
        <f t="shared" si="30"/>
        <v/>
      </c>
      <c r="J225" s="574" t="str">
        <f t="shared" si="31"/>
        <v/>
      </c>
      <c r="K225" s="580" t="str">
        <f t="shared" si="26"/>
        <v/>
      </c>
      <c r="L225" s="591" t="str">
        <f>IF(OR(L224=0,L224=""),"",IF(AND(H225="",C225=""),"",IF(COUNT(H223:H228)&gt;0,L224-IF(I225="",0,I225),"")))</f>
        <v/>
      </c>
    </row>
    <row r="226" spans="2:12">
      <c r="B226" s="540">
        <v>208</v>
      </c>
      <c r="C226" s="551" t="str">
        <f t="shared" si="24"/>
        <v/>
      </c>
      <c r="D226" s="565" t="str">
        <f t="shared" si="27"/>
        <v/>
      </c>
      <c r="E226" s="574" t="str">
        <f t="shared" si="28"/>
        <v/>
      </c>
      <c r="F226" s="580" t="str">
        <f t="shared" si="25"/>
        <v/>
      </c>
      <c r="G226" s="591" t="str">
        <f t="shared" si="29"/>
        <v/>
      </c>
      <c r="H226" s="551" t="str">
        <f>IF(C226="","",IF(OR($D$9=2,$D$9=8),IF(AND(D$7&gt;0,ROUNDDOWN($D$14/6,0)&gt;=35),35,""),""))</f>
        <v/>
      </c>
      <c r="I226" s="604" t="str">
        <f t="shared" si="30"/>
        <v/>
      </c>
      <c r="J226" s="574" t="str">
        <f t="shared" si="31"/>
        <v/>
      </c>
      <c r="K226" s="580" t="str">
        <f t="shared" si="26"/>
        <v/>
      </c>
      <c r="L226" s="591" t="str">
        <f>IF(OR(L225=0,L225=""),"",IF(AND(H226="",C226=""),"",IF(COUNT(H223:H228)&gt;0,L225-IF(I226="",0,I226),"")))</f>
        <v/>
      </c>
    </row>
    <row r="227" spans="2:12">
      <c r="B227" s="540">
        <v>209</v>
      </c>
      <c r="C227" s="551" t="str">
        <f t="shared" si="24"/>
        <v/>
      </c>
      <c r="D227" s="565" t="str">
        <f t="shared" si="27"/>
        <v/>
      </c>
      <c r="E227" s="574" t="str">
        <f t="shared" si="28"/>
        <v/>
      </c>
      <c r="F227" s="580" t="str">
        <f t="shared" si="25"/>
        <v/>
      </c>
      <c r="G227" s="591" t="str">
        <f t="shared" si="29"/>
        <v/>
      </c>
      <c r="H227" s="551" t="str">
        <f>IF(C227="","",IF(OR($D$9=1,$D$9=7),IF(AND(D$7&gt;0,ROUNDDOWN($D$14/6,0)&gt;=35),35,""),""))</f>
        <v/>
      </c>
      <c r="I227" s="604" t="str">
        <f t="shared" si="30"/>
        <v/>
      </c>
      <c r="J227" s="574" t="str">
        <f t="shared" si="31"/>
        <v/>
      </c>
      <c r="K227" s="580" t="str">
        <f t="shared" si="26"/>
        <v/>
      </c>
      <c r="L227" s="591" t="str">
        <f>IF(OR(L226=0,L226=""),"",IF(AND(H227="",C227=""),"",IF(COUNT(H223:H228)&gt;0,L226-IF(I227="",0,I227),"")))</f>
        <v/>
      </c>
    </row>
    <row r="228" spans="2:12">
      <c r="B228" s="540">
        <v>210</v>
      </c>
      <c r="C228" s="552" t="str">
        <f t="shared" si="24"/>
        <v/>
      </c>
      <c r="D228" s="566" t="str">
        <f t="shared" si="27"/>
        <v/>
      </c>
      <c r="E228" s="575" t="str">
        <f t="shared" si="28"/>
        <v/>
      </c>
      <c r="F228" s="581" t="str">
        <f t="shared" si="25"/>
        <v/>
      </c>
      <c r="G228" s="592" t="str">
        <f t="shared" si="29"/>
        <v/>
      </c>
      <c r="H228" s="552" t="str">
        <f>IF(C228="","",IF(OR($D$9=12,$D$9=6),IF(AND(D$7&gt;0,ROUNDDOWN($D$14/6,0)&gt;=35),35,""),""))</f>
        <v/>
      </c>
      <c r="I228" s="605" t="str">
        <f t="shared" si="30"/>
        <v/>
      </c>
      <c r="J228" s="575" t="str">
        <f t="shared" si="31"/>
        <v/>
      </c>
      <c r="K228" s="581" t="str">
        <f t="shared" si="26"/>
        <v/>
      </c>
      <c r="L228" s="592" t="str">
        <f>IF(OR(L227=0,L227=""),"",IF(AND(H228="",C228=""),"",IF(COUNT(H223:H228)&gt;0,L227-IF(I228="",0,I228),"")))</f>
        <v/>
      </c>
    </row>
    <row r="229" spans="2:12">
      <c r="B229" s="540">
        <v>211</v>
      </c>
      <c r="C229" s="551" t="str">
        <f t="shared" si="24"/>
        <v/>
      </c>
      <c r="D229" s="565" t="str">
        <f t="shared" si="27"/>
        <v/>
      </c>
      <c r="E229" s="574" t="str">
        <f t="shared" si="28"/>
        <v/>
      </c>
      <c r="F229" s="580" t="str">
        <f t="shared" si="25"/>
        <v/>
      </c>
      <c r="G229" s="591" t="str">
        <f t="shared" si="29"/>
        <v/>
      </c>
      <c r="H229" s="551" t="str">
        <f>IF(C229="","",IF(OR($D$9=5,$D$9=11),IF(AND(D$7&gt;0,ROUNDDOWN($D$14/6,0)&gt;=36),36,""),""))</f>
        <v/>
      </c>
      <c r="I229" s="603" t="str">
        <f t="shared" si="30"/>
        <v/>
      </c>
      <c r="J229" s="574" t="str">
        <f t="shared" si="31"/>
        <v/>
      </c>
      <c r="K229" s="582" t="str">
        <f t="shared" si="26"/>
        <v/>
      </c>
      <c r="L229" s="593" t="str">
        <f>IF(OR(L228=0,L228=""),"",IF(AND(H229="",C229=""),"",IF(COUNT(H229:H234)&gt;0,L228-IF(I229="",0,I229),"")))</f>
        <v/>
      </c>
    </row>
    <row r="230" spans="2:12">
      <c r="B230" s="540">
        <v>212</v>
      </c>
      <c r="C230" s="551" t="str">
        <f t="shared" si="24"/>
        <v/>
      </c>
      <c r="D230" s="565" t="str">
        <f t="shared" si="27"/>
        <v/>
      </c>
      <c r="E230" s="574" t="str">
        <f t="shared" si="28"/>
        <v/>
      </c>
      <c r="F230" s="580" t="str">
        <f t="shared" si="25"/>
        <v/>
      </c>
      <c r="G230" s="591" t="str">
        <f t="shared" si="29"/>
        <v/>
      </c>
      <c r="H230" s="551" t="str">
        <f>IF(C230="","",IF(OR($D$9=4,$D$9=10),IF(AND(D$7&gt;0,ROUNDDOWN($D$14/6,0)&gt;=36),36,""),""))</f>
        <v/>
      </c>
      <c r="I230" s="604" t="str">
        <f t="shared" si="30"/>
        <v/>
      </c>
      <c r="J230" s="574" t="str">
        <f t="shared" si="31"/>
        <v/>
      </c>
      <c r="K230" s="580" t="str">
        <f t="shared" si="26"/>
        <v/>
      </c>
      <c r="L230" s="591" t="str">
        <f>IF(OR(L229=0,L229=""),"",IF(AND(H230="",C230=""),"",IF(COUNT(H229:H234)&gt;0,L229-IF(I230="",0,I230),"")))</f>
        <v/>
      </c>
    </row>
    <row r="231" spans="2:12">
      <c r="B231" s="540">
        <v>213</v>
      </c>
      <c r="C231" s="551" t="str">
        <f t="shared" si="24"/>
        <v/>
      </c>
      <c r="D231" s="565" t="str">
        <f t="shared" si="27"/>
        <v/>
      </c>
      <c r="E231" s="574" t="str">
        <f t="shared" si="28"/>
        <v/>
      </c>
      <c r="F231" s="580" t="str">
        <f t="shared" si="25"/>
        <v/>
      </c>
      <c r="G231" s="591" t="str">
        <f t="shared" si="29"/>
        <v/>
      </c>
      <c r="H231" s="551" t="str">
        <f>IF(C231="","",IF(OR($D$9=3,$D$9=9),IF(AND(D$7&gt;0,ROUNDDOWN($D$14/6,0)&gt;=36),36,""),""))</f>
        <v/>
      </c>
      <c r="I231" s="604" t="str">
        <f t="shared" si="30"/>
        <v/>
      </c>
      <c r="J231" s="574" t="str">
        <f t="shared" si="31"/>
        <v/>
      </c>
      <c r="K231" s="580" t="str">
        <f t="shared" si="26"/>
        <v/>
      </c>
      <c r="L231" s="591" t="str">
        <f>IF(OR(L230=0,L230=""),"",IF(AND(H231="",C231=""),"",IF(COUNT(H229:H234)&gt;0,L230-IF(I231="",0,I231),"")))</f>
        <v/>
      </c>
    </row>
    <row r="232" spans="2:12">
      <c r="B232" s="540">
        <v>214</v>
      </c>
      <c r="C232" s="551" t="str">
        <f t="shared" si="24"/>
        <v/>
      </c>
      <c r="D232" s="565" t="str">
        <f t="shared" si="27"/>
        <v/>
      </c>
      <c r="E232" s="574" t="str">
        <f t="shared" si="28"/>
        <v/>
      </c>
      <c r="F232" s="580" t="str">
        <f t="shared" si="25"/>
        <v/>
      </c>
      <c r="G232" s="591" t="str">
        <f t="shared" si="29"/>
        <v/>
      </c>
      <c r="H232" s="551" t="str">
        <f>IF(C232="","",IF(OR($D$9=2,$D$9=8),IF(AND(D$7&gt;0,ROUNDDOWN($D$14/6,0)&gt;=36),36,""),""))</f>
        <v/>
      </c>
      <c r="I232" s="604" t="str">
        <f t="shared" si="30"/>
        <v/>
      </c>
      <c r="J232" s="574" t="str">
        <f t="shared" si="31"/>
        <v/>
      </c>
      <c r="K232" s="580" t="str">
        <f t="shared" si="26"/>
        <v/>
      </c>
      <c r="L232" s="591" t="str">
        <f>IF(OR(L231=0,L231=""),"",IF(AND(H232="",C232=""),"",IF(COUNT(H229:H234)&gt;0,L231-IF(I232="",0,I232),"")))</f>
        <v/>
      </c>
    </row>
    <row r="233" spans="2:12">
      <c r="B233" s="540">
        <v>215</v>
      </c>
      <c r="C233" s="551" t="str">
        <f t="shared" si="24"/>
        <v/>
      </c>
      <c r="D233" s="565" t="str">
        <f t="shared" si="27"/>
        <v/>
      </c>
      <c r="E233" s="574" t="str">
        <f t="shared" si="28"/>
        <v/>
      </c>
      <c r="F233" s="580" t="str">
        <f t="shared" si="25"/>
        <v/>
      </c>
      <c r="G233" s="591" t="str">
        <f t="shared" si="29"/>
        <v/>
      </c>
      <c r="H233" s="551" t="str">
        <f>IF(C233="","",IF(OR($D$9=1,$D$9=7),IF(AND(D$7&gt;0,ROUNDDOWN($D$14/6,0)&gt;=36),36,""),""))</f>
        <v/>
      </c>
      <c r="I233" s="604" t="str">
        <f t="shared" si="30"/>
        <v/>
      </c>
      <c r="J233" s="574" t="str">
        <f t="shared" si="31"/>
        <v/>
      </c>
      <c r="K233" s="580" t="str">
        <f t="shared" si="26"/>
        <v/>
      </c>
      <c r="L233" s="591" t="str">
        <f>IF(OR(L232=0,L232=""),"",IF(AND(H233="",C233=""),"",IF(COUNT(H229:H234)&gt;0,L232-IF(I233="",0,I233),"")))</f>
        <v/>
      </c>
    </row>
    <row r="234" spans="2:12">
      <c r="B234" s="540">
        <v>216</v>
      </c>
      <c r="C234" s="551" t="str">
        <f t="shared" si="24"/>
        <v/>
      </c>
      <c r="D234" s="565" t="str">
        <f t="shared" si="27"/>
        <v/>
      </c>
      <c r="E234" s="574" t="str">
        <f t="shared" si="28"/>
        <v/>
      </c>
      <c r="F234" s="580" t="str">
        <f t="shared" si="25"/>
        <v/>
      </c>
      <c r="G234" s="591" t="str">
        <f t="shared" si="29"/>
        <v/>
      </c>
      <c r="H234" s="551" t="str">
        <f>IF(C234="","",IF(OR($D$9=12,$D$9=6),IF(AND(D$7&gt;0,ROUNDDOWN($D$14/6,0)&gt;=36),36,""),""))</f>
        <v/>
      </c>
      <c r="I234" s="605" t="str">
        <f t="shared" si="30"/>
        <v/>
      </c>
      <c r="J234" s="575" t="str">
        <f t="shared" si="31"/>
        <v/>
      </c>
      <c r="K234" s="581" t="str">
        <f t="shared" si="26"/>
        <v/>
      </c>
      <c r="L234" s="592" t="str">
        <f>IF(OR(L233=0,L233=""),"",IF(AND(H234="",C234=""),"",IF(COUNT(H229:H234)&gt;0,L233-IF(I234="",0,I234),"")))</f>
        <v/>
      </c>
    </row>
    <row r="235" spans="2:12">
      <c r="B235" s="540">
        <v>217</v>
      </c>
      <c r="C235" s="553" t="str">
        <f t="shared" si="24"/>
        <v/>
      </c>
      <c r="D235" s="567" t="str">
        <f t="shared" si="27"/>
        <v/>
      </c>
      <c r="E235" s="576" t="str">
        <f t="shared" si="28"/>
        <v/>
      </c>
      <c r="F235" s="582" t="str">
        <f t="shared" si="25"/>
        <v/>
      </c>
      <c r="G235" s="593" t="str">
        <f t="shared" si="29"/>
        <v/>
      </c>
      <c r="H235" s="553" t="str">
        <f>IF(C235="","",IF(OR($D$9=5,$D$9=11),IF(AND(D$7&gt;0,ROUNDDOWN($D$14/6,0)&gt;=37),37,""),""))</f>
        <v/>
      </c>
      <c r="I235" s="603" t="str">
        <f t="shared" si="30"/>
        <v/>
      </c>
      <c r="J235" s="574" t="str">
        <f t="shared" si="31"/>
        <v/>
      </c>
      <c r="K235" s="582" t="str">
        <f t="shared" si="26"/>
        <v/>
      </c>
      <c r="L235" s="593" t="str">
        <f>IF(OR(L234=0,L234=""),"",IF(AND(H235="",C235=""),"",IF(COUNT(H235:H240)&gt;0,L234-IF(I235="",0,I235),"")))</f>
        <v/>
      </c>
    </row>
    <row r="236" spans="2:12">
      <c r="B236" s="540">
        <v>218</v>
      </c>
      <c r="C236" s="551" t="str">
        <f t="shared" si="24"/>
        <v/>
      </c>
      <c r="D236" s="565" t="str">
        <f t="shared" si="27"/>
        <v/>
      </c>
      <c r="E236" s="574" t="str">
        <f t="shared" si="28"/>
        <v/>
      </c>
      <c r="F236" s="580" t="str">
        <f t="shared" si="25"/>
        <v/>
      </c>
      <c r="G236" s="591" t="str">
        <f t="shared" si="29"/>
        <v/>
      </c>
      <c r="H236" s="551" t="str">
        <f>IF(C236="","",IF(OR($D$9=4,$D$9=10),IF(AND(D$7&gt;0,ROUNDDOWN($D$14/6,0)&gt;=37),37,""),""))</f>
        <v/>
      </c>
      <c r="I236" s="604" t="str">
        <f t="shared" si="30"/>
        <v/>
      </c>
      <c r="J236" s="574" t="str">
        <f t="shared" si="31"/>
        <v/>
      </c>
      <c r="K236" s="580" t="str">
        <f t="shared" si="26"/>
        <v/>
      </c>
      <c r="L236" s="591" t="str">
        <f>IF(OR(L235=0,L235=""),"",IF(AND(H236="",C236=""),"",IF(COUNT(H235:H240)&gt;0,L235-IF(I236="",0,I236),"")))</f>
        <v/>
      </c>
    </row>
    <row r="237" spans="2:12">
      <c r="B237" s="540">
        <v>219</v>
      </c>
      <c r="C237" s="551" t="str">
        <f t="shared" si="24"/>
        <v/>
      </c>
      <c r="D237" s="565" t="str">
        <f t="shared" si="27"/>
        <v/>
      </c>
      <c r="E237" s="574" t="str">
        <f t="shared" si="28"/>
        <v/>
      </c>
      <c r="F237" s="580" t="str">
        <f t="shared" si="25"/>
        <v/>
      </c>
      <c r="G237" s="591" t="str">
        <f t="shared" si="29"/>
        <v/>
      </c>
      <c r="H237" s="551" t="str">
        <f>IF(C237="","",IF(OR($D$9=3,$D$9=9),IF(AND(D$7&gt;0,ROUNDDOWN($D$14/6,0)&gt;=37),37,""),""))</f>
        <v/>
      </c>
      <c r="I237" s="604" t="str">
        <f t="shared" si="30"/>
        <v/>
      </c>
      <c r="J237" s="574" t="str">
        <f t="shared" si="31"/>
        <v/>
      </c>
      <c r="K237" s="580" t="str">
        <f t="shared" si="26"/>
        <v/>
      </c>
      <c r="L237" s="591" t="str">
        <f>IF(OR(L236=0,L236=""),"",IF(AND(H237="",C237=""),"",IF(COUNT(H235:H240)&gt;0,L236-IF(I237="",0,I237),"")))</f>
        <v/>
      </c>
    </row>
    <row r="238" spans="2:12">
      <c r="B238" s="540">
        <v>220</v>
      </c>
      <c r="C238" s="551" t="str">
        <f t="shared" si="24"/>
        <v/>
      </c>
      <c r="D238" s="565" t="str">
        <f t="shared" si="27"/>
        <v/>
      </c>
      <c r="E238" s="574" t="str">
        <f t="shared" si="28"/>
        <v/>
      </c>
      <c r="F238" s="580" t="str">
        <f t="shared" si="25"/>
        <v/>
      </c>
      <c r="G238" s="591" t="str">
        <f t="shared" si="29"/>
        <v/>
      </c>
      <c r="H238" s="551" t="str">
        <f>IF(C238="","",IF(OR($D$9=2,$D$9=8),IF(AND(D$7&gt;0,ROUNDDOWN($D$14/6,0)&gt;=37),37,""),""))</f>
        <v/>
      </c>
      <c r="I238" s="604" t="str">
        <f t="shared" si="30"/>
        <v/>
      </c>
      <c r="J238" s="574" t="str">
        <f t="shared" si="31"/>
        <v/>
      </c>
      <c r="K238" s="580" t="str">
        <f t="shared" si="26"/>
        <v/>
      </c>
      <c r="L238" s="591" t="str">
        <f>IF(OR(L237=0,L237=""),"",IF(AND(H238="",C238=""),"",IF(COUNT(H235:H240)&gt;0,L237-IF(I238="",0,I238),"")))</f>
        <v/>
      </c>
    </row>
    <row r="239" spans="2:12">
      <c r="B239" s="540">
        <v>221</v>
      </c>
      <c r="C239" s="551" t="str">
        <f t="shared" si="24"/>
        <v/>
      </c>
      <c r="D239" s="565" t="str">
        <f t="shared" si="27"/>
        <v/>
      </c>
      <c r="E239" s="574" t="str">
        <f t="shared" si="28"/>
        <v/>
      </c>
      <c r="F239" s="580" t="str">
        <f t="shared" si="25"/>
        <v/>
      </c>
      <c r="G239" s="591" t="str">
        <f t="shared" si="29"/>
        <v/>
      </c>
      <c r="H239" s="551" t="str">
        <f>IF(C239="","",IF(OR($D$9=1,$D$9=7),IF(AND(D$7&gt;0,ROUNDDOWN($D$14/6,0)&gt;=37),37,""),""))</f>
        <v/>
      </c>
      <c r="I239" s="604" t="str">
        <f t="shared" si="30"/>
        <v/>
      </c>
      <c r="J239" s="574" t="str">
        <f t="shared" si="31"/>
        <v/>
      </c>
      <c r="K239" s="580" t="str">
        <f t="shared" si="26"/>
        <v/>
      </c>
      <c r="L239" s="591" t="str">
        <f>IF(OR(L238=0,L238=""),"",IF(AND(H239="",C239=""),"",IF(COUNT(H235:H240)&gt;0,L238-IF(I239="",0,I239),"")))</f>
        <v/>
      </c>
    </row>
    <row r="240" spans="2:12">
      <c r="B240" s="540">
        <v>222</v>
      </c>
      <c r="C240" s="552" t="str">
        <f t="shared" si="24"/>
        <v/>
      </c>
      <c r="D240" s="566" t="str">
        <f t="shared" si="27"/>
        <v/>
      </c>
      <c r="E240" s="575" t="str">
        <f t="shared" si="28"/>
        <v/>
      </c>
      <c r="F240" s="581" t="str">
        <f t="shared" si="25"/>
        <v/>
      </c>
      <c r="G240" s="592" t="str">
        <f t="shared" si="29"/>
        <v/>
      </c>
      <c r="H240" s="552" t="str">
        <f>IF(C240="","",IF(OR($D$9=12,$D$9=6),IF(AND(D$7&gt;0,ROUNDDOWN($D$14/6,0)&gt;=37),37,""),""))</f>
        <v/>
      </c>
      <c r="I240" s="605" t="str">
        <f t="shared" si="30"/>
        <v/>
      </c>
      <c r="J240" s="575" t="str">
        <f t="shared" si="31"/>
        <v/>
      </c>
      <c r="K240" s="581" t="str">
        <f t="shared" si="26"/>
        <v/>
      </c>
      <c r="L240" s="592" t="str">
        <f>IF(OR(L239=0,L239=""),"",IF(AND(H240="",C240=""),"",IF(COUNT(H235:H240)&gt;0,L239-IF(I240="",0,I240),"")))</f>
        <v/>
      </c>
    </row>
    <row r="241" spans="2:12">
      <c r="B241" s="540">
        <v>223</v>
      </c>
      <c r="C241" s="551" t="str">
        <f t="shared" si="24"/>
        <v/>
      </c>
      <c r="D241" s="565" t="str">
        <f t="shared" si="27"/>
        <v/>
      </c>
      <c r="E241" s="574" t="str">
        <f t="shared" si="28"/>
        <v/>
      </c>
      <c r="F241" s="580" t="str">
        <f t="shared" si="25"/>
        <v/>
      </c>
      <c r="G241" s="591" t="str">
        <f t="shared" si="29"/>
        <v/>
      </c>
      <c r="H241" s="551" t="str">
        <f>IF(C241="","",IF(OR($D$9=5,$D$9=11),IF(AND(D$7&gt;0,ROUNDDOWN($D$14/6,0)&gt;=38),38,""),""))</f>
        <v/>
      </c>
      <c r="I241" s="603" t="str">
        <f t="shared" si="30"/>
        <v/>
      </c>
      <c r="J241" s="574" t="str">
        <f t="shared" si="31"/>
        <v/>
      </c>
      <c r="K241" s="582" t="str">
        <f t="shared" si="26"/>
        <v/>
      </c>
      <c r="L241" s="593" t="str">
        <f>IF(OR(L240=0,L240=""),"",IF(AND(H241="",C241=""),"",IF(COUNT(H241:H246)&gt;0,L240-IF(I241="",0,I241),"")))</f>
        <v/>
      </c>
    </row>
    <row r="242" spans="2:12">
      <c r="B242" s="540">
        <v>224</v>
      </c>
      <c r="C242" s="551" t="str">
        <f t="shared" si="24"/>
        <v/>
      </c>
      <c r="D242" s="565" t="str">
        <f t="shared" si="27"/>
        <v/>
      </c>
      <c r="E242" s="574" t="str">
        <f t="shared" si="28"/>
        <v/>
      </c>
      <c r="F242" s="580" t="str">
        <f t="shared" si="25"/>
        <v/>
      </c>
      <c r="G242" s="591" t="str">
        <f t="shared" si="29"/>
        <v/>
      </c>
      <c r="H242" s="551" t="str">
        <f>IF(C242="","",IF(OR($D$9=4,$D$9=10),IF(AND(D$7&gt;0,ROUNDDOWN($D$14/6,0)&gt;=38),38,""),""))</f>
        <v/>
      </c>
      <c r="I242" s="604" t="str">
        <f t="shared" si="30"/>
        <v/>
      </c>
      <c r="J242" s="574" t="str">
        <f t="shared" si="31"/>
        <v/>
      </c>
      <c r="K242" s="580" t="str">
        <f t="shared" si="26"/>
        <v/>
      </c>
      <c r="L242" s="591" t="str">
        <f>IF(OR(L241=0,L241=""),"",IF(AND(H242="",C242=""),"",IF(COUNT(H241:H246)&gt;0,L241-IF(I242="",0,I242),"")))</f>
        <v/>
      </c>
    </row>
    <row r="243" spans="2:12">
      <c r="B243" s="540">
        <v>225</v>
      </c>
      <c r="C243" s="551" t="str">
        <f t="shared" si="24"/>
        <v/>
      </c>
      <c r="D243" s="565" t="str">
        <f t="shared" si="27"/>
        <v/>
      </c>
      <c r="E243" s="574" t="str">
        <f t="shared" si="28"/>
        <v/>
      </c>
      <c r="F243" s="580" t="str">
        <f t="shared" si="25"/>
        <v/>
      </c>
      <c r="G243" s="591" t="str">
        <f t="shared" si="29"/>
        <v/>
      </c>
      <c r="H243" s="551" t="str">
        <f>IF(C243="","",IF(OR($D$9=3,$D$9=9),IF(AND(D$7&gt;0,ROUNDDOWN($D$14/6,0)&gt;=38),38,""),""))</f>
        <v/>
      </c>
      <c r="I243" s="604" t="str">
        <f t="shared" si="30"/>
        <v/>
      </c>
      <c r="J243" s="574" t="str">
        <f t="shared" si="31"/>
        <v/>
      </c>
      <c r="K243" s="580" t="str">
        <f t="shared" si="26"/>
        <v/>
      </c>
      <c r="L243" s="591" t="str">
        <f>IF(OR(L242=0,L242=""),"",IF(AND(H243="",C243=""),"",IF(COUNT(H241:H246)&gt;0,L242-IF(I243="",0,I243),"")))</f>
        <v/>
      </c>
    </row>
    <row r="244" spans="2:12">
      <c r="B244" s="540">
        <v>226</v>
      </c>
      <c r="C244" s="551" t="str">
        <f t="shared" si="24"/>
        <v/>
      </c>
      <c r="D244" s="565" t="str">
        <f t="shared" si="27"/>
        <v/>
      </c>
      <c r="E244" s="574" t="str">
        <f t="shared" si="28"/>
        <v/>
      </c>
      <c r="F244" s="580" t="str">
        <f t="shared" si="25"/>
        <v/>
      </c>
      <c r="G244" s="591" t="str">
        <f t="shared" si="29"/>
        <v/>
      </c>
      <c r="H244" s="551" t="str">
        <f>IF(C244="","",IF(OR($D$9=2,$D$9=8),IF(AND(D$7&gt;0,ROUNDDOWN($D$14/6,0)&gt;=38),38,""),""))</f>
        <v/>
      </c>
      <c r="I244" s="604" t="str">
        <f t="shared" si="30"/>
        <v/>
      </c>
      <c r="J244" s="574" t="str">
        <f t="shared" si="31"/>
        <v/>
      </c>
      <c r="K244" s="580" t="str">
        <f t="shared" si="26"/>
        <v/>
      </c>
      <c r="L244" s="591" t="str">
        <f>IF(OR(L243=0,L243=""),"",IF(AND(H244="",C244=""),"",IF(COUNT(H241:H246)&gt;0,L243-IF(I244="",0,I244),"")))</f>
        <v/>
      </c>
    </row>
    <row r="245" spans="2:12">
      <c r="B245" s="540">
        <v>227</v>
      </c>
      <c r="C245" s="551" t="str">
        <f t="shared" si="24"/>
        <v/>
      </c>
      <c r="D245" s="565" t="str">
        <f t="shared" si="27"/>
        <v/>
      </c>
      <c r="E245" s="574" t="str">
        <f t="shared" si="28"/>
        <v/>
      </c>
      <c r="F245" s="580" t="str">
        <f t="shared" si="25"/>
        <v/>
      </c>
      <c r="G245" s="591" t="str">
        <f t="shared" si="29"/>
        <v/>
      </c>
      <c r="H245" s="551" t="str">
        <f>IF(C245="","",IF(OR($D$9=1,$D$9=7),IF(AND(D$7&gt;0,ROUNDDOWN($D$14/6,0)&gt;=38),38,""),""))</f>
        <v/>
      </c>
      <c r="I245" s="604" t="str">
        <f t="shared" si="30"/>
        <v/>
      </c>
      <c r="J245" s="574" t="str">
        <f t="shared" si="31"/>
        <v/>
      </c>
      <c r="K245" s="580" t="str">
        <f t="shared" si="26"/>
        <v/>
      </c>
      <c r="L245" s="591" t="str">
        <f>IF(OR(L244=0,L244=""),"",IF(AND(H245="",C245=""),"",IF(COUNT(H241:H246)&gt;0,L244-IF(I245="",0,I245),"")))</f>
        <v/>
      </c>
    </row>
    <row r="246" spans="2:12">
      <c r="B246" s="540">
        <v>228</v>
      </c>
      <c r="C246" s="551" t="str">
        <f t="shared" si="24"/>
        <v/>
      </c>
      <c r="D246" s="565" t="str">
        <f t="shared" si="27"/>
        <v/>
      </c>
      <c r="E246" s="574" t="str">
        <f t="shared" si="28"/>
        <v/>
      </c>
      <c r="F246" s="580" t="str">
        <f t="shared" si="25"/>
        <v/>
      </c>
      <c r="G246" s="591" t="str">
        <f t="shared" si="29"/>
        <v/>
      </c>
      <c r="H246" s="551" t="str">
        <f>IF(C246="","",IF(OR($D$9=12,$D$9=6),IF(AND(D$7&gt;0,ROUNDDOWN($D$14/6,0)&gt;=38),38,""),""))</f>
        <v/>
      </c>
      <c r="I246" s="605" t="str">
        <f t="shared" si="30"/>
        <v/>
      </c>
      <c r="J246" s="575" t="str">
        <f t="shared" si="31"/>
        <v/>
      </c>
      <c r="K246" s="581" t="str">
        <f t="shared" si="26"/>
        <v/>
      </c>
      <c r="L246" s="592" t="str">
        <f>IF(OR(L245=0,L245=""),"",IF(AND(H246="",C246=""),"",IF(COUNT(H241:H246)&gt;0,L245-IF(I246="",0,I246),"")))</f>
        <v/>
      </c>
    </row>
    <row r="247" spans="2:12">
      <c r="B247" s="540">
        <v>229</v>
      </c>
      <c r="C247" s="553" t="str">
        <f t="shared" si="24"/>
        <v/>
      </c>
      <c r="D247" s="567" t="str">
        <f t="shared" si="27"/>
        <v/>
      </c>
      <c r="E247" s="576" t="str">
        <f t="shared" si="28"/>
        <v/>
      </c>
      <c r="F247" s="582" t="str">
        <f t="shared" si="25"/>
        <v/>
      </c>
      <c r="G247" s="593" t="str">
        <f t="shared" si="29"/>
        <v/>
      </c>
      <c r="H247" s="553" t="str">
        <f>IF(C247="","",IF(OR($D$9=5,$D$9=11),IF(AND(D$7&gt;0,ROUNDDOWN($D$14/6,0)&gt;=39),39,""),""))</f>
        <v/>
      </c>
      <c r="I247" s="603" t="str">
        <f t="shared" si="30"/>
        <v/>
      </c>
      <c r="J247" s="574" t="str">
        <f t="shared" si="31"/>
        <v/>
      </c>
      <c r="K247" s="582" t="str">
        <f t="shared" si="26"/>
        <v/>
      </c>
      <c r="L247" s="593" t="str">
        <f>IF(OR(L246=0,L246=""),"",IF(AND(H247="",C247=""),"",IF(COUNT(H247:H252)&gt;0,L246-IF(I247="",0,I247),"")))</f>
        <v/>
      </c>
    </row>
    <row r="248" spans="2:12">
      <c r="B248" s="540">
        <v>230</v>
      </c>
      <c r="C248" s="551" t="str">
        <f t="shared" si="24"/>
        <v/>
      </c>
      <c r="D248" s="565" t="str">
        <f t="shared" si="27"/>
        <v/>
      </c>
      <c r="E248" s="574" t="str">
        <f t="shared" si="28"/>
        <v/>
      </c>
      <c r="F248" s="580" t="str">
        <f t="shared" si="25"/>
        <v/>
      </c>
      <c r="G248" s="591" t="str">
        <f t="shared" si="29"/>
        <v/>
      </c>
      <c r="H248" s="551" t="str">
        <f>IF(C248="","",IF(OR($D$9=4,$D$9=10),IF(AND(D$7&gt;0,ROUNDDOWN($D$14/6,0)&gt;=39),39,""),""))</f>
        <v/>
      </c>
      <c r="I248" s="604" t="str">
        <f t="shared" si="30"/>
        <v/>
      </c>
      <c r="J248" s="574" t="str">
        <f t="shared" si="31"/>
        <v/>
      </c>
      <c r="K248" s="580" t="str">
        <f t="shared" si="26"/>
        <v/>
      </c>
      <c r="L248" s="591" t="str">
        <f>IF(OR(L247=0,L247=""),"",IF(AND(H248="",C248=""),"",IF(COUNT(H247:H252)&gt;0,L247-IF(I248="",0,I248),"")))</f>
        <v/>
      </c>
    </row>
    <row r="249" spans="2:12">
      <c r="B249" s="540">
        <v>231</v>
      </c>
      <c r="C249" s="551" t="str">
        <f t="shared" si="24"/>
        <v/>
      </c>
      <c r="D249" s="565" t="str">
        <f t="shared" si="27"/>
        <v/>
      </c>
      <c r="E249" s="574" t="str">
        <f t="shared" si="28"/>
        <v/>
      </c>
      <c r="F249" s="580" t="str">
        <f t="shared" si="25"/>
        <v/>
      </c>
      <c r="G249" s="591" t="str">
        <f t="shared" si="29"/>
        <v/>
      </c>
      <c r="H249" s="551" t="str">
        <f>IF(C249="","",IF(OR($D$9=3,$D$9=9),IF(AND(D$7&gt;0,ROUNDDOWN($D$14/6,0)&gt;=39),39,""),""))</f>
        <v/>
      </c>
      <c r="I249" s="604" t="str">
        <f t="shared" si="30"/>
        <v/>
      </c>
      <c r="J249" s="574" t="str">
        <f t="shared" si="31"/>
        <v/>
      </c>
      <c r="K249" s="580" t="str">
        <f t="shared" si="26"/>
        <v/>
      </c>
      <c r="L249" s="591" t="str">
        <f>IF(OR(L248=0,L248=""),"",IF(AND(H249="",C249=""),"",IF(COUNT(H247:H252)&gt;0,L248-IF(I249="",0,I249),"")))</f>
        <v/>
      </c>
    </row>
    <row r="250" spans="2:12">
      <c r="B250" s="540">
        <v>232</v>
      </c>
      <c r="C250" s="551" t="str">
        <f t="shared" si="24"/>
        <v/>
      </c>
      <c r="D250" s="565" t="str">
        <f t="shared" si="27"/>
        <v/>
      </c>
      <c r="E250" s="574" t="str">
        <f t="shared" si="28"/>
        <v/>
      </c>
      <c r="F250" s="580" t="str">
        <f t="shared" si="25"/>
        <v/>
      </c>
      <c r="G250" s="591" t="str">
        <f t="shared" si="29"/>
        <v/>
      </c>
      <c r="H250" s="551" t="str">
        <f>IF(C250="","",IF(OR($D$9=2,$D$9=8),IF(AND(D$7&gt;0,ROUNDDOWN($D$14/6,0)&gt;=39),39,""),""))</f>
        <v/>
      </c>
      <c r="I250" s="604" t="str">
        <f t="shared" si="30"/>
        <v/>
      </c>
      <c r="J250" s="574" t="str">
        <f t="shared" si="31"/>
        <v/>
      </c>
      <c r="K250" s="580" t="str">
        <f t="shared" si="26"/>
        <v/>
      </c>
      <c r="L250" s="591" t="str">
        <f>IF(OR(L249=0,L249=""),"",IF(AND(H250="",C250=""),"",IF(COUNT(H247:H252)&gt;0,L249-IF(I250="",0,I250),"")))</f>
        <v/>
      </c>
    </row>
    <row r="251" spans="2:12">
      <c r="B251" s="540">
        <v>233</v>
      </c>
      <c r="C251" s="551" t="str">
        <f t="shared" si="24"/>
        <v/>
      </c>
      <c r="D251" s="565" t="str">
        <f t="shared" si="27"/>
        <v/>
      </c>
      <c r="E251" s="574" t="str">
        <f t="shared" si="28"/>
        <v/>
      </c>
      <c r="F251" s="580" t="str">
        <f t="shared" si="25"/>
        <v/>
      </c>
      <c r="G251" s="591" t="str">
        <f t="shared" si="29"/>
        <v/>
      </c>
      <c r="H251" s="551" t="str">
        <f>IF(C251="","",IF(OR($D$9=1,$D$9=7),IF(AND(D$7&gt;0,ROUNDDOWN($D$14/6,0)&gt;=39),39,""),""))</f>
        <v/>
      </c>
      <c r="I251" s="604" t="str">
        <f t="shared" si="30"/>
        <v/>
      </c>
      <c r="J251" s="574" t="str">
        <f t="shared" si="31"/>
        <v/>
      </c>
      <c r="K251" s="580" t="str">
        <f t="shared" si="26"/>
        <v/>
      </c>
      <c r="L251" s="591" t="str">
        <f>IF(OR(L250=0,L250=""),"",IF(AND(H251="",C251=""),"",IF(COUNT(H247:H252)&gt;0,L250-IF(I251="",0,I251),"")))</f>
        <v/>
      </c>
    </row>
    <row r="252" spans="2:12">
      <c r="B252" s="540">
        <v>234</v>
      </c>
      <c r="C252" s="552" t="str">
        <f t="shared" si="24"/>
        <v/>
      </c>
      <c r="D252" s="566" t="str">
        <f t="shared" si="27"/>
        <v/>
      </c>
      <c r="E252" s="575" t="str">
        <f t="shared" si="28"/>
        <v/>
      </c>
      <c r="F252" s="581" t="str">
        <f t="shared" si="25"/>
        <v/>
      </c>
      <c r="G252" s="592" t="str">
        <f t="shared" si="29"/>
        <v/>
      </c>
      <c r="H252" s="552" t="str">
        <f>IF(C252="","",IF(OR($D$9=12,$D$9=6),IF(AND(D$7&gt;0,ROUNDDOWN($D$14/6,0)&gt;=39),39,""),""))</f>
        <v/>
      </c>
      <c r="I252" s="605" t="str">
        <f t="shared" si="30"/>
        <v/>
      </c>
      <c r="J252" s="575" t="str">
        <f t="shared" si="31"/>
        <v/>
      </c>
      <c r="K252" s="581" t="str">
        <f t="shared" si="26"/>
        <v/>
      </c>
      <c r="L252" s="592" t="str">
        <f>IF(OR(L251=0,L251=""),"",IF(AND(H252="",C252=""),"",IF(COUNT(H247:H252)&gt;0,L251-IF(I252="",0,I252),"")))</f>
        <v/>
      </c>
    </row>
    <row r="253" spans="2:12">
      <c r="B253" s="540">
        <v>235</v>
      </c>
      <c r="C253" s="551" t="str">
        <f t="shared" si="24"/>
        <v/>
      </c>
      <c r="D253" s="565" t="str">
        <f t="shared" si="27"/>
        <v/>
      </c>
      <c r="E253" s="574" t="str">
        <f t="shared" si="28"/>
        <v/>
      </c>
      <c r="F253" s="580" t="str">
        <f t="shared" si="25"/>
        <v/>
      </c>
      <c r="G253" s="591" t="str">
        <f t="shared" si="29"/>
        <v/>
      </c>
      <c r="H253" s="551" t="str">
        <f>IF(C253="","",IF(OR($D$9=5,$D$9=11),IF(AND(D$7&gt;0,ROUNDDOWN($D$14/6,0)&gt;=40),40,""),""))</f>
        <v/>
      </c>
      <c r="I253" s="603" t="str">
        <f t="shared" si="30"/>
        <v/>
      </c>
      <c r="J253" s="574" t="str">
        <f t="shared" si="31"/>
        <v/>
      </c>
      <c r="K253" s="582" t="str">
        <f t="shared" si="26"/>
        <v/>
      </c>
      <c r="L253" s="593" t="str">
        <f>IF(OR(L252=0,L252=""),"",IF(AND(H253="",C253=""),"",IF(COUNT(H253:H258)&gt;0,L252-IF(I253="",0,I253),"")))</f>
        <v/>
      </c>
    </row>
    <row r="254" spans="2:12">
      <c r="B254" s="540">
        <v>236</v>
      </c>
      <c r="C254" s="551" t="str">
        <f t="shared" si="24"/>
        <v/>
      </c>
      <c r="D254" s="565" t="str">
        <f t="shared" si="27"/>
        <v/>
      </c>
      <c r="E254" s="574" t="str">
        <f t="shared" si="28"/>
        <v/>
      </c>
      <c r="F254" s="580" t="str">
        <f t="shared" si="25"/>
        <v/>
      </c>
      <c r="G254" s="591" t="str">
        <f t="shared" si="29"/>
        <v/>
      </c>
      <c r="H254" s="551" t="str">
        <f>IF(C254="","",IF(OR($D$9=4,$D$9=10),IF(AND(D$7&gt;0,ROUNDDOWN($D$14/6,0)&gt;=40),40,""),""))</f>
        <v/>
      </c>
      <c r="I254" s="604" t="str">
        <f t="shared" si="30"/>
        <v/>
      </c>
      <c r="J254" s="574" t="str">
        <f t="shared" si="31"/>
        <v/>
      </c>
      <c r="K254" s="580" t="str">
        <f t="shared" si="26"/>
        <v/>
      </c>
      <c r="L254" s="591" t="str">
        <f>IF(OR(L253=0,L253=""),"",IF(AND(H254="",C254=""),"",IF(COUNT(H253:H258)&gt;0,L253-IF(I254="",0,I254),"")))</f>
        <v/>
      </c>
    </row>
    <row r="255" spans="2:12">
      <c r="B255" s="540">
        <v>237</v>
      </c>
      <c r="C255" s="551" t="str">
        <f t="shared" si="24"/>
        <v/>
      </c>
      <c r="D255" s="565" t="str">
        <f t="shared" si="27"/>
        <v/>
      </c>
      <c r="E255" s="574" t="str">
        <f t="shared" si="28"/>
        <v/>
      </c>
      <c r="F255" s="580" t="str">
        <f t="shared" si="25"/>
        <v/>
      </c>
      <c r="G255" s="591" t="str">
        <f t="shared" si="29"/>
        <v/>
      </c>
      <c r="H255" s="551" t="str">
        <f>IF(C255="","",IF(OR($D$9=3,$D$9=9),IF(AND(D$7&gt;0,ROUNDDOWN($D$14/6,0)&gt;=40),40,""),""))</f>
        <v/>
      </c>
      <c r="I255" s="604" t="str">
        <f t="shared" si="30"/>
        <v/>
      </c>
      <c r="J255" s="574" t="str">
        <f t="shared" si="31"/>
        <v/>
      </c>
      <c r="K255" s="580" t="str">
        <f t="shared" si="26"/>
        <v/>
      </c>
      <c r="L255" s="591" t="str">
        <f>IF(OR(L254=0,L254=""),"",IF(AND(H255="",C255=""),"",IF(COUNT(H253:H258)&gt;0,L254-IF(I255="",0,I255),"")))</f>
        <v/>
      </c>
    </row>
    <row r="256" spans="2:12">
      <c r="B256" s="540">
        <v>238</v>
      </c>
      <c r="C256" s="551" t="str">
        <f t="shared" si="24"/>
        <v/>
      </c>
      <c r="D256" s="565" t="str">
        <f t="shared" si="27"/>
        <v/>
      </c>
      <c r="E256" s="574" t="str">
        <f t="shared" si="28"/>
        <v/>
      </c>
      <c r="F256" s="580" t="str">
        <f t="shared" si="25"/>
        <v/>
      </c>
      <c r="G256" s="591" t="str">
        <f t="shared" si="29"/>
        <v/>
      </c>
      <c r="H256" s="551" t="str">
        <f>IF(C256="","",IF(OR($D$9=2,$D$9=8),IF(AND(D$7&gt;0,ROUNDDOWN($D$14/6,0)&gt;=40),40,""),""))</f>
        <v/>
      </c>
      <c r="I256" s="604" t="str">
        <f t="shared" si="30"/>
        <v/>
      </c>
      <c r="J256" s="574" t="str">
        <f t="shared" si="31"/>
        <v/>
      </c>
      <c r="K256" s="580" t="str">
        <f t="shared" si="26"/>
        <v/>
      </c>
      <c r="L256" s="591" t="str">
        <f>IF(OR(L255=0,L255=""),"",IF(AND(H256="",C256=""),"",IF(COUNT(H253:H258)&gt;0,L255-IF(I256="",0,I256),"")))</f>
        <v/>
      </c>
    </row>
    <row r="257" spans="2:12">
      <c r="B257" s="540">
        <v>239</v>
      </c>
      <c r="C257" s="551" t="str">
        <f t="shared" si="24"/>
        <v/>
      </c>
      <c r="D257" s="565" t="str">
        <f t="shared" si="27"/>
        <v/>
      </c>
      <c r="E257" s="574" t="str">
        <f t="shared" si="28"/>
        <v/>
      </c>
      <c r="F257" s="580" t="str">
        <f t="shared" si="25"/>
        <v/>
      </c>
      <c r="G257" s="591" t="str">
        <f t="shared" si="29"/>
        <v/>
      </c>
      <c r="H257" s="551" t="str">
        <f>IF(C257="","",IF(OR($D$9=1,$D$9=7),IF(AND(D$7&gt;0,ROUNDDOWN($D$14/6,0)&gt;=40),40,""),""))</f>
        <v/>
      </c>
      <c r="I257" s="604" t="str">
        <f t="shared" si="30"/>
        <v/>
      </c>
      <c r="J257" s="574" t="str">
        <f t="shared" si="31"/>
        <v/>
      </c>
      <c r="K257" s="580" t="str">
        <f t="shared" si="26"/>
        <v/>
      </c>
      <c r="L257" s="591" t="str">
        <f>IF(OR(L256=0,L256=""),"",IF(AND(H257="",C257=""),"",IF(COUNT(H253:H258)&gt;0,L256-IF(I257="",0,I257),"")))</f>
        <v/>
      </c>
    </row>
    <row r="258" spans="2:12">
      <c r="B258" s="540">
        <v>240</v>
      </c>
      <c r="C258" s="551" t="str">
        <f t="shared" si="24"/>
        <v/>
      </c>
      <c r="D258" s="565" t="str">
        <f t="shared" si="27"/>
        <v/>
      </c>
      <c r="E258" s="574" t="str">
        <f t="shared" si="28"/>
        <v/>
      </c>
      <c r="F258" s="580" t="str">
        <f t="shared" si="25"/>
        <v/>
      </c>
      <c r="G258" s="591" t="str">
        <f t="shared" si="29"/>
        <v/>
      </c>
      <c r="H258" s="551" t="str">
        <f>IF(C258="","",IF(OR($D$9=12,$D$9=6),IF(AND(D$7&gt;0,ROUNDDOWN($D$14/6,0)&gt;=40),40,""),""))</f>
        <v/>
      </c>
      <c r="I258" s="605" t="str">
        <f t="shared" si="30"/>
        <v/>
      </c>
      <c r="J258" s="575" t="str">
        <f t="shared" si="31"/>
        <v/>
      </c>
      <c r="K258" s="581" t="str">
        <f t="shared" si="26"/>
        <v/>
      </c>
      <c r="L258" s="592" t="str">
        <f>IF(OR(L257=0,L257=""),"",IF(AND(H258="",C258=""),"",IF(COUNT(H253:H258)&gt;0,L257-IF(I258="",0,I258),"")))</f>
        <v/>
      </c>
    </row>
    <row r="259" spans="2:12">
      <c r="B259" s="540">
        <v>241</v>
      </c>
      <c r="C259" s="553" t="str">
        <f t="shared" si="24"/>
        <v/>
      </c>
      <c r="D259" s="567" t="str">
        <f t="shared" si="27"/>
        <v/>
      </c>
      <c r="E259" s="576" t="str">
        <f t="shared" si="28"/>
        <v/>
      </c>
      <c r="F259" s="582" t="str">
        <f t="shared" si="25"/>
        <v/>
      </c>
      <c r="G259" s="593" t="str">
        <f t="shared" si="29"/>
        <v/>
      </c>
      <c r="H259" s="553" t="str">
        <f>IF(C259="","",IF(OR($D$9=5,$D$9=11),IF(AND(D$7&gt;0,ROUNDDOWN($D$14/6,0)&gt;=41),41,""),""))</f>
        <v/>
      </c>
      <c r="I259" s="603" t="str">
        <f t="shared" si="30"/>
        <v/>
      </c>
      <c r="J259" s="574" t="str">
        <f t="shared" si="31"/>
        <v/>
      </c>
      <c r="K259" s="582" t="str">
        <f t="shared" si="26"/>
        <v/>
      </c>
      <c r="L259" s="593" t="str">
        <f>IF(OR(L258=0,L258=""),"",IF(AND(H259="",C259=""),"",IF(COUNT(H259:H264)&gt;0,L258-IF(I259="",0,I259),"")))</f>
        <v/>
      </c>
    </row>
    <row r="260" spans="2:12">
      <c r="B260" s="540">
        <v>242</v>
      </c>
      <c r="C260" s="551" t="str">
        <f t="shared" si="24"/>
        <v/>
      </c>
      <c r="D260" s="565" t="str">
        <f t="shared" si="27"/>
        <v/>
      </c>
      <c r="E260" s="574" t="str">
        <f t="shared" si="28"/>
        <v/>
      </c>
      <c r="F260" s="580" t="str">
        <f t="shared" si="25"/>
        <v/>
      </c>
      <c r="G260" s="591" t="str">
        <f t="shared" si="29"/>
        <v/>
      </c>
      <c r="H260" s="551" t="str">
        <f>IF(C260="","",IF(OR($D$9=4,$D$9=10),IF(AND(D$7&gt;0,ROUNDDOWN($D$14/6,0)&gt;=41),41,""),""))</f>
        <v/>
      </c>
      <c r="I260" s="604" t="str">
        <f t="shared" si="30"/>
        <v/>
      </c>
      <c r="J260" s="574" t="str">
        <f t="shared" si="31"/>
        <v/>
      </c>
      <c r="K260" s="580" t="str">
        <f t="shared" si="26"/>
        <v/>
      </c>
      <c r="L260" s="591" t="str">
        <f>IF(OR(L259=0,L259=""),"",IF(AND(H260="",C260=""),"",IF(COUNT(H259:H264)&gt;0,L259-IF(I260="",0,I260),"")))</f>
        <v/>
      </c>
    </row>
    <row r="261" spans="2:12">
      <c r="B261" s="540">
        <v>243</v>
      </c>
      <c r="C261" s="551" t="str">
        <f t="shared" si="24"/>
        <v/>
      </c>
      <c r="D261" s="565" t="str">
        <f t="shared" si="27"/>
        <v/>
      </c>
      <c r="E261" s="574" t="str">
        <f t="shared" si="28"/>
        <v/>
      </c>
      <c r="F261" s="580" t="str">
        <f t="shared" si="25"/>
        <v/>
      </c>
      <c r="G261" s="591" t="str">
        <f t="shared" si="29"/>
        <v/>
      </c>
      <c r="H261" s="551" t="str">
        <f>IF(C261="","",IF(OR($D$9=3,$D$9=9),IF(AND(D$7&gt;0,ROUNDDOWN($D$14/6,0)&gt;=41),41,""),""))</f>
        <v/>
      </c>
      <c r="I261" s="604" t="str">
        <f t="shared" si="30"/>
        <v/>
      </c>
      <c r="J261" s="574" t="str">
        <f t="shared" si="31"/>
        <v/>
      </c>
      <c r="K261" s="580" t="str">
        <f t="shared" si="26"/>
        <v/>
      </c>
      <c r="L261" s="591" t="str">
        <f>IF(OR(L260=0,L260=""),"",IF(AND(H261="",C261=""),"",IF(COUNT(H259:H264)&gt;0,L260-IF(I261="",0,I261),"")))</f>
        <v/>
      </c>
    </row>
    <row r="262" spans="2:12">
      <c r="B262" s="540">
        <v>244</v>
      </c>
      <c r="C262" s="551" t="str">
        <f t="shared" si="24"/>
        <v/>
      </c>
      <c r="D262" s="565" t="str">
        <f t="shared" si="27"/>
        <v/>
      </c>
      <c r="E262" s="574" t="str">
        <f t="shared" si="28"/>
        <v/>
      </c>
      <c r="F262" s="580" t="str">
        <f t="shared" si="25"/>
        <v/>
      </c>
      <c r="G262" s="591" t="str">
        <f t="shared" si="29"/>
        <v/>
      </c>
      <c r="H262" s="551" t="str">
        <f>IF(C262="","",IF(OR($D$9=2,$D$9=8),IF(AND(D$7&gt;0,ROUNDDOWN($D$14/6,0)&gt;=41),41,""),""))</f>
        <v/>
      </c>
      <c r="I262" s="604" t="str">
        <f t="shared" si="30"/>
        <v/>
      </c>
      <c r="J262" s="574" t="str">
        <f t="shared" si="31"/>
        <v/>
      </c>
      <c r="K262" s="580" t="str">
        <f t="shared" si="26"/>
        <v/>
      </c>
      <c r="L262" s="591" t="str">
        <f>IF(OR(L261=0,L261=""),"",IF(AND(H262="",C262=""),"",IF(COUNT(H259:H264)&gt;0,L261-IF(I262="",0,I262),"")))</f>
        <v/>
      </c>
    </row>
    <row r="263" spans="2:12">
      <c r="B263" s="540">
        <v>245</v>
      </c>
      <c r="C263" s="551" t="str">
        <f t="shared" si="24"/>
        <v/>
      </c>
      <c r="D263" s="565" t="str">
        <f t="shared" si="27"/>
        <v/>
      </c>
      <c r="E263" s="574" t="str">
        <f t="shared" si="28"/>
        <v/>
      </c>
      <c r="F263" s="580" t="str">
        <f t="shared" si="25"/>
        <v/>
      </c>
      <c r="G263" s="591" t="str">
        <f t="shared" si="29"/>
        <v/>
      </c>
      <c r="H263" s="551" t="str">
        <f>IF(C263="","",IF(OR($D$9=1,$D$9=7),IF(AND(D$7&gt;0,ROUNDDOWN($D$14/6,0)&gt;=41),41,""),""))</f>
        <v/>
      </c>
      <c r="I263" s="604" t="str">
        <f t="shared" si="30"/>
        <v/>
      </c>
      <c r="J263" s="574" t="str">
        <f t="shared" si="31"/>
        <v/>
      </c>
      <c r="K263" s="580" t="str">
        <f t="shared" si="26"/>
        <v/>
      </c>
      <c r="L263" s="591" t="str">
        <f>IF(OR(L262=0,L262=""),"",IF(AND(H263="",C263=""),"",IF(COUNT(H259:H264)&gt;0,L262-IF(I263="",0,I263),"")))</f>
        <v/>
      </c>
    </row>
    <row r="264" spans="2:12">
      <c r="B264" s="540">
        <v>246</v>
      </c>
      <c r="C264" s="552" t="str">
        <f t="shared" si="24"/>
        <v/>
      </c>
      <c r="D264" s="566" t="str">
        <f t="shared" si="27"/>
        <v/>
      </c>
      <c r="E264" s="575" t="str">
        <f t="shared" si="28"/>
        <v/>
      </c>
      <c r="F264" s="581" t="str">
        <f t="shared" si="25"/>
        <v/>
      </c>
      <c r="G264" s="592" t="str">
        <f t="shared" si="29"/>
        <v/>
      </c>
      <c r="H264" s="552" t="str">
        <f>IF(C264="","",IF(OR($D$9=12,$D$9=6),IF(AND(D$7&gt;0,ROUNDDOWN($D$14/6,0)&gt;=41),41,""),""))</f>
        <v/>
      </c>
      <c r="I264" s="605" t="str">
        <f t="shared" si="30"/>
        <v/>
      </c>
      <c r="J264" s="575" t="str">
        <f t="shared" si="31"/>
        <v/>
      </c>
      <c r="K264" s="581" t="str">
        <f t="shared" si="26"/>
        <v/>
      </c>
      <c r="L264" s="592" t="str">
        <f>IF(OR(L263=0,L263=""),"",IF(AND(H264="",C264=""),"",IF(COUNT(H259:H264)&gt;0,L263-IF(I264="",0,I264),"")))</f>
        <v/>
      </c>
    </row>
    <row r="265" spans="2:12">
      <c r="B265" s="540">
        <v>247</v>
      </c>
      <c r="C265" s="551" t="str">
        <f t="shared" si="24"/>
        <v/>
      </c>
      <c r="D265" s="565" t="str">
        <f t="shared" si="27"/>
        <v/>
      </c>
      <c r="E265" s="574" t="str">
        <f t="shared" si="28"/>
        <v/>
      </c>
      <c r="F265" s="580" t="str">
        <f t="shared" si="25"/>
        <v/>
      </c>
      <c r="G265" s="591" t="str">
        <f t="shared" si="29"/>
        <v/>
      </c>
      <c r="H265" s="551" t="str">
        <f>IF(C265="","",IF(OR($D$9=5,$D$9=11),IF(AND(D$7&gt;0,ROUNDDOWN($D$14/6,0)&gt;=42),42,""),""))</f>
        <v/>
      </c>
      <c r="I265" s="603" t="str">
        <f t="shared" si="30"/>
        <v/>
      </c>
      <c r="J265" s="574" t="str">
        <f t="shared" si="31"/>
        <v/>
      </c>
      <c r="K265" s="582" t="str">
        <f t="shared" si="26"/>
        <v/>
      </c>
      <c r="L265" s="593" t="str">
        <f>IF(OR(L264=0,L264=""),"",IF(AND(H265="",C265=""),"",IF(COUNT(H265:H270)&gt;0,L264-IF(I265="",0,I265),"")))</f>
        <v/>
      </c>
    </row>
    <row r="266" spans="2:12">
      <c r="B266" s="540">
        <v>248</v>
      </c>
      <c r="C266" s="551" t="str">
        <f t="shared" si="24"/>
        <v/>
      </c>
      <c r="D266" s="565" t="str">
        <f t="shared" si="27"/>
        <v/>
      </c>
      <c r="E266" s="574" t="str">
        <f t="shared" si="28"/>
        <v/>
      </c>
      <c r="F266" s="580" t="str">
        <f t="shared" si="25"/>
        <v/>
      </c>
      <c r="G266" s="591" t="str">
        <f t="shared" si="29"/>
        <v/>
      </c>
      <c r="H266" s="551" t="str">
        <f>IF(C266="","",IF(OR($D$9=4,$D$9=10),IF(AND(D$7&gt;0,ROUNDDOWN($D$14/6,0)&gt;=42),42,""),""))</f>
        <v/>
      </c>
      <c r="I266" s="604" t="str">
        <f t="shared" si="30"/>
        <v/>
      </c>
      <c r="J266" s="574" t="str">
        <f t="shared" si="31"/>
        <v/>
      </c>
      <c r="K266" s="580" t="str">
        <f t="shared" si="26"/>
        <v/>
      </c>
      <c r="L266" s="591" t="str">
        <f>IF(OR(L265=0,L265=""),"",IF(AND(H266="",C266=""),"",IF(COUNT(H265:H270)&gt;0,L265-IF(I266="",0,I266),"")))</f>
        <v/>
      </c>
    </row>
    <row r="267" spans="2:12">
      <c r="B267" s="540">
        <v>249</v>
      </c>
      <c r="C267" s="551" t="str">
        <f t="shared" si="24"/>
        <v/>
      </c>
      <c r="D267" s="565" t="str">
        <f t="shared" si="27"/>
        <v/>
      </c>
      <c r="E267" s="574" t="str">
        <f t="shared" si="28"/>
        <v/>
      </c>
      <c r="F267" s="580" t="str">
        <f t="shared" si="25"/>
        <v/>
      </c>
      <c r="G267" s="591" t="str">
        <f t="shared" si="29"/>
        <v/>
      </c>
      <c r="H267" s="551" t="str">
        <f>IF(C267="","",IF(OR($D$9=3,$D$9=9),IF(AND(D$7&gt;0,ROUNDDOWN($D$14/6,0)&gt;=42),42,""),""))</f>
        <v/>
      </c>
      <c r="I267" s="604" t="str">
        <f t="shared" si="30"/>
        <v/>
      </c>
      <c r="J267" s="574" t="str">
        <f t="shared" si="31"/>
        <v/>
      </c>
      <c r="K267" s="580" t="str">
        <f t="shared" si="26"/>
        <v/>
      </c>
      <c r="L267" s="591" t="str">
        <f>IF(OR(L266=0,L266=""),"",IF(AND(H267="",C267=""),"",IF(COUNT(H265:H270)&gt;0,L266-IF(I267="",0,I267),"")))</f>
        <v/>
      </c>
    </row>
    <row r="268" spans="2:12">
      <c r="B268" s="540">
        <v>250</v>
      </c>
      <c r="C268" s="551" t="str">
        <f t="shared" si="24"/>
        <v/>
      </c>
      <c r="D268" s="565" t="str">
        <f t="shared" si="27"/>
        <v/>
      </c>
      <c r="E268" s="574" t="str">
        <f t="shared" si="28"/>
        <v/>
      </c>
      <c r="F268" s="580" t="str">
        <f t="shared" si="25"/>
        <v/>
      </c>
      <c r="G268" s="591" t="str">
        <f t="shared" si="29"/>
        <v/>
      </c>
      <c r="H268" s="551" t="str">
        <f>IF(C268="","",IF(OR($D$9=2,$D$9=8),IF(AND(D$7&gt;0,ROUNDDOWN($D$14/6,0)&gt;=42),42,""),""))</f>
        <v/>
      </c>
      <c r="I268" s="604" t="str">
        <f t="shared" si="30"/>
        <v/>
      </c>
      <c r="J268" s="574" t="str">
        <f t="shared" si="31"/>
        <v/>
      </c>
      <c r="K268" s="580" t="str">
        <f t="shared" si="26"/>
        <v/>
      </c>
      <c r="L268" s="591" t="str">
        <f>IF(OR(L267=0,L267=""),"",IF(AND(H268="",C268=""),"",IF(COUNT(H265:H270)&gt;0,L267-IF(I268="",0,I268),"")))</f>
        <v/>
      </c>
    </row>
    <row r="269" spans="2:12">
      <c r="B269" s="540">
        <v>251</v>
      </c>
      <c r="C269" s="551" t="str">
        <f t="shared" si="24"/>
        <v/>
      </c>
      <c r="D269" s="565" t="str">
        <f t="shared" si="27"/>
        <v/>
      </c>
      <c r="E269" s="574" t="str">
        <f t="shared" si="28"/>
        <v/>
      </c>
      <c r="F269" s="580" t="str">
        <f t="shared" si="25"/>
        <v/>
      </c>
      <c r="G269" s="591" t="str">
        <f t="shared" si="29"/>
        <v/>
      </c>
      <c r="H269" s="551" t="str">
        <f>IF(C269="","",IF(OR($D$9=1,$D$9=7),IF(AND(D$7&gt;0,ROUNDDOWN($D$14/6,0)&gt;=42),42,""),""))</f>
        <v/>
      </c>
      <c r="I269" s="604" t="str">
        <f t="shared" si="30"/>
        <v/>
      </c>
      <c r="J269" s="574" t="str">
        <f t="shared" si="31"/>
        <v/>
      </c>
      <c r="K269" s="580" t="str">
        <f t="shared" si="26"/>
        <v/>
      </c>
      <c r="L269" s="591" t="str">
        <f>IF(OR(L268=0,L268=""),"",IF(AND(H269="",C269=""),"",IF(COUNT(H265:H270)&gt;0,L268-IF(I269="",0,I269),"")))</f>
        <v/>
      </c>
    </row>
    <row r="270" spans="2:12">
      <c r="B270" s="540">
        <v>252</v>
      </c>
      <c r="C270" s="551" t="str">
        <f t="shared" si="24"/>
        <v/>
      </c>
      <c r="D270" s="565" t="str">
        <f t="shared" si="27"/>
        <v/>
      </c>
      <c r="E270" s="574" t="str">
        <f t="shared" si="28"/>
        <v/>
      </c>
      <c r="F270" s="580" t="str">
        <f t="shared" si="25"/>
        <v/>
      </c>
      <c r="G270" s="591" t="str">
        <f t="shared" si="29"/>
        <v/>
      </c>
      <c r="H270" s="551" t="str">
        <f>IF(C270="","",IF(OR($D$9=12,$D$9=6),IF(AND(D$7&gt;0,ROUNDDOWN($D$14/6,0)&gt;=42),42,""),""))</f>
        <v/>
      </c>
      <c r="I270" s="605" t="str">
        <f t="shared" si="30"/>
        <v/>
      </c>
      <c r="J270" s="575" t="str">
        <f t="shared" si="31"/>
        <v/>
      </c>
      <c r="K270" s="581" t="str">
        <f t="shared" si="26"/>
        <v/>
      </c>
      <c r="L270" s="592" t="str">
        <f>IF(OR(L269=0,L269=""),"",IF(AND(H270="",C270=""),"",IF(COUNT(H265:H270)&gt;0,L269-IF(I270="",0,I270),"")))</f>
        <v/>
      </c>
    </row>
    <row r="271" spans="2:12">
      <c r="B271" s="540">
        <v>253</v>
      </c>
      <c r="C271" s="553" t="str">
        <f t="shared" si="24"/>
        <v/>
      </c>
      <c r="D271" s="567" t="str">
        <f t="shared" si="27"/>
        <v/>
      </c>
      <c r="E271" s="576" t="str">
        <f t="shared" si="28"/>
        <v/>
      </c>
      <c r="F271" s="582" t="str">
        <f t="shared" si="25"/>
        <v/>
      </c>
      <c r="G271" s="593" t="str">
        <f t="shared" si="29"/>
        <v/>
      </c>
      <c r="H271" s="553" t="str">
        <f>IF(C271="","",IF(OR($D$9=5,$D$9=11),IF(AND(D$7&gt;0,ROUNDDOWN($D$14/6,0)&gt;=43),43,""),""))</f>
        <v/>
      </c>
      <c r="I271" s="603" t="str">
        <f t="shared" si="30"/>
        <v/>
      </c>
      <c r="J271" s="574" t="str">
        <f t="shared" si="31"/>
        <v/>
      </c>
      <c r="K271" s="582" t="str">
        <f t="shared" si="26"/>
        <v/>
      </c>
      <c r="L271" s="593" t="str">
        <f>IF(OR(L270=0,L270=""),"",IF(AND(H271="",C271=""),"",IF(COUNT(H271:H276)&gt;0,L270-IF(I271="",0,I271),"")))</f>
        <v/>
      </c>
    </row>
    <row r="272" spans="2:12">
      <c r="B272" s="540">
        <v>254</v>
      </c>
      <c r="C272" s="551" t="str">
        <f t="shared" si="24"/>
        <v/>
      </c>
      <c r="D272" s="565" t="str">
        <f t="shared" si="27"/>
        <v/>
      </c>
      <c r="E272" s="574" t="str">
        <f t="shared" si="28"/>
        <v/>
      </c>
      <c r="F272" s="580" t="str">
        <f t="shared" si="25"/>
        <v/>
      </c>
      <c r="G272" s="591" t="str">
        <f t="shared" si="29"/>
        <v/>
      </c>
      <c r="H272" s="551" t="str">
        <f>IF(C272="","",IF(OR($D$9=4,$D$9=10),IF(AND(D$7&gt;0,ROUNDDOWN($D$14/6,0)&gt;=43),43,""),""))</f>
        <v/>
      </c>
      <c r="I272" s="604" t="str">
        <f t="shared" si="30"/>
        <v/>
      </c>
      <c r="J272" s="574" t="str">
        <f t="shared" si="31"/>
        <v/>
      </c>
      <c r="K272" s="580" t="str">
        <f t="shared" si="26"/>
        <v/>
      </c>
      <c r="L272" s="591" t="str">
        <f>IF(OR(L271=0,L271=""),"",IF(AND(H272="",C272=""),"",IF(COUNT(H271:H276)&gt;0,L271-IF(I272="",0,I272),"")))</f>
        <v/>
      </c>
    </row>
    <row r="273" spans="2:12">
      <c r="B273" s="540">
        <v>255</v>
      </c>
      <c r="C273" s="551" t="str">
        <f t="shared" si="24"/>
        <v/>
      </c>
      <c r="D273" s="565" t="str">
        <f t="shared" si="27"/>
        <v/>
      </c>
      <c r="E273" s="574" t="str">
        <f t="shared" si="28"/>
        <v/>
      </c>
      <c r="F273" s="580" t="str">
        <f t="shared" si="25"/>
        <v/>
      </c>
      <c r="G273" s="591" t="str">
        <f t="shared" si="29"/>
        <v/>
      </c>
      <c r="H273" s="551" t="str">
        <f>IF(C273="","",IF(OR($D$9=3,$D$9=9),IF(AND(D$7&gt;0,ROUNDDOWN($D$14/6,0)&gt;=43),43,""),""))</f>
        <v/>
      </c>
      <c r="I273" s="604" t="str">
        <f t="shared" si="30"/>
        <v/>
      </c>
      <c r="J273" s="574" t="str">
        <f t="shared" si="31"/>
        <v/>
      </c>
      <c r="K273" s="580" t="str">
        <f t="shared" si="26"/>
        <v/>
      </c>
      <c r="L273" s="591" t="str">
        <f>IF(OR(L272=0,L272=""),"",IF(AND(H273="",C273=""),"",IF(COUNT(H271:H276)&gt;0,L272-IF(I273="",0,I273),"")))</f>
        <v/>
      </c>
    </row>
    <row r="274" spans="2:12">
      <c r="B274" s="540">
        <v>256</v>
      </c>
      <c r="C274" s="551" t="str">
        <f t="shared" si="24"/>
        <v/>
      </c>
      <c r="D274" s="565" t="str">
        <f t="shared" si="27"/>
        <v/>
      </c>
      <c r="E274" s="574" t="str">
        <f t="shared" si="28"/>
        <v/>
      </c>
      <c r="F274" s="580" t="str">
        <f t="shared" si="25"/>
        <v/>
      </c>
      <c r="G274" s="591" t="str">
        <f t="shared" si="29"/>
        <v/>
      </c>
      <c r="H274" s="551" t="str">
        <f>IF(C274="","",IF(OR($D$9=2,$D$9=8),IF(AND(D$7&gt;0,ROUNDDOWN($D$14/6,0)&gt;=43),43,""),""))</f>
        <v/>
      </c>
      <c r="I274" s="604" t="str">
        <f t="shared" si="30"/>
        <v/>
      </c>
      <c r="J274" s="574" t="str">
        <f t="shared" si="31"/>
        <v/>
      </c>
      <c r="K274" s="580" t="str">
        <f t="shared" si="26"/>
        <v/>
      </c>
      <c r="L274" s="591" t="str">
        <f>IF(OR(L273=0,L273=""),"",IF(AND(H274="",C274=""),"",IF(COUNT(H271:H276)&gt;0,L273-IF(I274="",0,I274),"")))</f>
        <v/>
      </c>
    </row>
    <row r="275" spans="2:12">
      <c r="B275" s="540">
        <v>257</v>
      </c>
      <c r="C275" s="551" t="str">
        <f t="shared" ref="C275:C338" si="32">IF($D$14&gt;=B275,B275,"")</f>
        <v/>
      </c>
      <c r="D275" s="565" t="str">
        <f t="shared" si="27"/>
        <v/>
      </c>
      <c r="E275" s="574" t="str">
        <f t="shared" si="28"/>
        <v/>
      </c>
      <c r="F275" s="580" t="str">
        <f t="shared" ref="F275:F338" si="33">IF(C275="","",D275+E275)</f>
        <v/>
      </c>
      <c r="G275" s="591" t="str">
        <f t="shared" si="29"/>
        <v/>
      </c>
      <c r="H275" s="551" t="str">
        <f>IF(C275="","",IF(OR($D$9=1,$D$9=7),IF(AND(D$7&gt;0,ROUNDDOWN($D$14/6,0)&gt;=43),43,""),""))</f>
        <v/>
      </c>
      <c r="I275" s="604" t="str">
        <f t="shared" si="30"/>
        <v/>
      </c>
      <c r="J275" s="574" t="str">
        <f t="shared" si="31"/>
        <v/>
      </c>
      <c r="K275" s="580" t="str">
        <f t="shared" ref="K275:K338" si="34">IF(H275="","",I275+J275)</f>
        <v/>
      </c>
      <c r="L275" s="591" t="str">
        <f>IF(OR(L274=0,L274=""),"",IF(AND(H275="",C275=""),"",IF(COUNT(H271:H276)&gt;0,L274-IF(I275="",0,I275),"")))</f>
        <v/>
      </c>
    </row>
    <row r="276" spans="2:12">
      <c r="B276" s="540">
        <v>258</v>
      </c>
      <c r="C276" s="552" t="str">
        <f t="shared" si="32"/>
        <v/>
      </c>
      <c r="D276" s="566" t="str">
        <f t="shared" ref="D276:D339" si="35">IF(C276="","",IF(C276=$D$14,G275,ROUNDDOWN($D$8/$D$14,0)))</f>
        <v/>
      </c>
      <c r="E276" s="575" t="str">
        <f t="shared" ref="E276:E339" si="36">IF(C276="","",ROUNDDOWN(G275*$D$13,0))</f>
        <v/>
      </c>
      <c r="F276" s="581" t="str">
        <f t="shared" si="33"/>
        <v/>
      </c>
      <c r="G276" s="592" t="str">
        <f t="shared" ref="G276:G339" si="37">IF(C276="","",G275-D276)</f>
        <v/>
      </c>
      <c r="H276" s="552" t="str">
        <f>IF(C276="","",IF(OR($D$9=12,$D$9=6),IF(AND(D$7&gt;0,ROUNDDOWN($D$14/6,0)&gt;=43),43,""),""))</f>
        <v/>
      </c>
      <c r="I276" s="605" t="str">
        <f t="shared" ref="I276:I339" si="38">IF(H276="","",IF(H276&gt;0,IF(H282="",L275,ROUNDDOWN($D$7/COUNT(H$19:H$378),0)),""))</f>
        <v/>
      </c>
      <c r="J276" s="575" t="str">
        <f t="shared" si="31"/>
        <v/>
      </c>
      <c r="K276" s="581" t="str">
        <f t="shared" si="34"/>
        <v/>
      </c>
      <c r="L276" s="592" t="str">
        <f>IF(OR(L275=0,L275=""),"",IF(AND(H276="",C276=""),"",IF(COUNT(H271:H276)&gt;0,L275-IF(I276="",0,I276),"")))</f>
        <v/>
      </c>
    </row>
    <row r="277" spans="2:12">
      <c r="B277" s="540">
        <v>259</v>
      </c>
      <c r="C277" s="551" t="str">
        <f t="shared" si="32"/>
        <v/>
      </c>
      <c r="D277" s="565" t="str">
        <f t="shared" si="35"/>
        <v/>
      </c>
      <c r="E277" s="574" t="str">
        <f t="shared" si="36"/>
        <v/>
      </c>
      <c r="F277" s="580" t="str">
        <f t="shared" si="33"/>
        <v/>
      </c>
      <c r="G277" s="591" t="str">
        <f t="shared" si="37"/>
        <v/>
      </c>
      <c r="H277" s="551" t="str">
        <f>IF(C277="","",IF(OR($D$9=5,$D$9=11),IF(AND(D$7&gt;0,ROUNDDOWN($D$14/6,0)&gt;=44),44,""),""))</f>
        <v/>
      </c>
      <c r="I277" s="603" t="str">
        <f t="shared" si="38"/>
        <v/>
      </c>
      <c r="J277" s="574" t="str">
        <f t="shared" si="31"/>
        <v/>
      </c>
      <c r="K277" s="582" t="str">
        <f t="shared" si="34"/>
        <v/>
      </c>
      <c r="L277" s="593" t="str">
        <f>IF(OR(L276=0,L276=""),"",IF(AND(H277="",C277=""),"",IF(COUNT(H277:H282)&gt;0,L276-IF(I277="",0,I277),"")))</f>
        <v/>
      </c>
    </row>
    <row r="278" spans="2:12">
      <c r="B278" s="540">
        <v>260</v>
      </c>
      <c r="C278" s="551" t="str">
        <f t="shared" si="32"/>
        <v/>
      </c>
      <c r="D278" s="565" t="str">
        <f t="shared" si="35"/>
        <v/>
      </c>
      <c r="E278" s="574" t="str">
        <f t="shared" si="36"/>
        <v/>
      </c>
      <c r="F278" s="580" t="str">
        <f t="shared" si="33"/>
        <v/>
      </c>
      <c r="G278" s="591" t="str">
        <f t="shared" si="37"/>
        <v/>
      </c>
      <c r="H278" s="551" t="str">
        <f>IF(C278="","",IF(OR($D$9=4,$D$9=10),IF(AND(D$7&gt;0,ROUNDDOWN($D$14/6,0)&gt;=44),44,""),""))</f>
        <v/>
      </c>
      <c r="I278" s="604" t="str">
        <f t="shared" si="38"/>
        <v/>
      </c>
      <c r="J278" s="574" t="str">
        <f t="shared" si="31"/>
        <v/>
      </c>
      <c r="K278" s="580" t="str">
        <f t="shared" si="34"/>
        <v/>
      </c>
      <c r="L278" s="591" t="str">
        <f>IF(OR(L277=0,L277=""),"",IF(AND(H278="",C278=""),"",IF(COUNT(H277:H282)&gt;0,L277-IF(I278="",0,I278),"")))</f>
        <v/>
      </c>
    </row>
    <row r="279" spans="2:12">
      <c r="B279" s="540">
        <v>261</v>
      </c>
      <c r="C279" s="551" t="str">
        <f t="shared" si="32"/>
        <v/>
      </c>
      <c r="D279" s="565" t="str">
        <f t="shared" si="35"/>
        <v/>
      </c>
      <c r="E279" s="574" t="str">
        <f t="shared" si="36"/>
        <v/>
      </c>
      <c r="F279" s="580" t="str">
        <f t="shared" si="33"/>
        <v/>
      </c>
      <c r="G279" s="591" t="str">
        <f t="shared" si="37"/>
        <v/>
      </c>
      <c r="H279" s="551" t="str">
        <f>IF(C279="","",IF(OR($D$9=3,$D$9=9),IF(AND(D$7&gt;0,ROUNDDOWN($D$14/6,0)&gt;=44),44,""),""))</f>
        <v/>
      </c>
      <c r="I279" s="604" t="str">
        <f t="shared" si="38"/>
        <v/>
      </c>
      <c r="J279" s="574" t="str">
        <f t="shared" si="31"/>
        <v/>
      </c>
      <c r="K279" s="580" t="str">
        <f t="shared" si="34"/>
        <v/>
      </c>
      <c r="L279" s="591" t="str">
        <f>IF(OR(L278=0,L278=""),"",IF(AND(H279="",C279=""),"",IF(COUNT(H277:H282)&gt;0,L278-IF(I279="",0,I279),"")))</f>
        <v/>
      </c>
    </row>
    <row r="280" spans="2:12">
      <c r="B280" s="540">
        <v>262</v>
      </c>
      <c r="C280" s="551" t="str">
        <f t="shared" si="32"/>
        <v/>
      </c>
      <c r="D280" s="565" t="str">
        <f t="shared" si="35"/>
        <v/>
      </c>
      <c r="E280" s="574" t="str">
        <f t="shared" si="36"/>
        <v/>
      </c>
      <c r="F280" s="580" t="str">
        <f t="shared" si="33"/>
        <v/>
      </c>
      <c r="G280" s="591" t="str">
        <f t="shared" si="37"/>
        <v/>
      </c>
      <c r="H280" s="551" t="str">
        <f>IF(C280="","",IF(OR($D$9=2,$D$9=8),IF(AND(D$7&gt;0,ROUNDDOWN($D$14/6,0)&gt;=44),44,""),""))</f>
        <v/>
      </c>
      <c r="I280" s="604" t="str">
        <f t="shared" si="38"/>
        <v/>
      </c>
      <c r="J280" s="574" t="str">
        <f t="shared" si="31"/>
        <v/>
      </c>
      <c r="K280" s="580" t="str">
        <f t="shared" si="34"/>
        <v/>
      </c>
      <c r="L280" s="591" t="str">
        <f>IF(OR(L279=0,L279=""),"",IF(AND(H280="",C280=""),"",IF(COUNT(H277:H282)&gt;0,L279-IF(I280="",0,I280),"")))</f>
        <v/>
      </c>
    </row>
    <row r="281" spans="2:12">
      <c r="B281" s="540">
        <v>263</v>
      </c>
      <c r="C281" s="551" t="str">
        <f t="shared" si="32"/>
        <v/>
      </c>
      <c r="D281" s="565" t="str">
        <f t="shared" si="35"/>
        <v/>
      </c>
      <c r="E281" s="574" t="str">
        <f t="shared" si="36"/>
        <v/>
      </c>
      <c r="F281" s="580" t="str">
        <f t="shared" si="33"/>
        <v/>
      </c>
      <c r="G281" s="591" t="str">
        <f t="shared" si="37"/>
        <v/>
      </c>
      <c r="H281" s="551" t="str">
        <f>IF(C281="","",IF(OR($D$9=1,$D$9=7),IF(AND(D$7&gt;0,ROUNDDOWN($D$14/6,0)&gt;=44),44,""),""))</f>
        <v/>
      </c>
      <c r="I281" s="604" t="str">
        <f t="shared" si="38"/>
        <v/>
      </c>
      <c r="J281" s="574" t="str">
        <f t="shared" ref="J281:J344" si="39">IF(H281="","",ROUNDDOWN(L280*$D$12,0))</f>
        <v/>
      </c>
      <c r="K281" s="580" t="str">
        <f t="shared" si="34"/>
        <v/>
      </c>
      <c r="L281" s="591" t="str">
        <f>IF(OR(L280=0,L280=""),"",IF(AND(H281="",C281=""),"",IF(COUNT(H277:H282)&gt;0,L280-IF(I281="",0,I281),"")))</f>
        <v/>
      </c>
    </row>
    <row r="282" spans="2:12">
      <c r="B282" s="540">
        <v>264</v>
      </c>
      <c r="C282" s="551" t="str">
        <f t="shared" si="32"/>
        <v/>
      </c>
      <c r="D282" s="565" t="str">
        <f t="shared" si="35"/>
        <v/>
      </c>
      <c r="E282" s="574" t="str">
        <f t="shared" si="36"/>
        <v/>
      </c>
      <c r="F282" s="580" t="str">
        <f t="shared" si="33"/>
        <v/>
      </c>
      <c r="G282" s="591" t="str">
        <f t="shared" si="37"/>
        <v/>
      </c>
      <c r="H282" s="551" t="str">
        <f>IF(C282="","",IF(OR($D$9=12,$D$9=6),IF(AND(D$7&gt;0,ROUNDDOWN($D$14/6,0)&gt;=44),44,""),""))</f>
        <v/>
      </c>
      <c r="I282" s="605" t="str">
        <f t="shared" si="38"/>
        <v/>
      </c>
      <c r="J282" s="575" t="str">
        <f t="shared" si="39"/>
        <v/>
      </c>
      <c r="K282" s="581" t="str">
        <f t="shared" si="34"/>
        <v/>
      </c>
      <c r="L282" s="592" t="str">
        <f>IF(OR(L281=0,L281=""),"",IF(AND(H282="",C282=""),"",IF(COUNT(H277:H282)&gt;0,L281-IF(I282="",0,I282),"")))</f>
        <v/>
      </c>
    </row>
    <row r="283" spans="2:12">
      <c r="B283" s="540">
        <v>265</v>
      </c>
      <c r="C283" s="553" t="str">
        <f t="shared" si="32"/>
        <v/>
      </c>
      <c r="D283" s="567" t="str">
        <f t="shared" si="35"/>
        <v/>
      </c>
      <c r="E283" s="576" t="str">
        <f t="shared" si="36"/>
        <v/>
      </c>
      <c r="F283" s="582" t="str">
        <f t="shared" si="33"/>
        <v/>
      </c>
      <c r="G283" s="593" t="str">
        <f t="shared" si="37"/>
        <v/>
      </c>
      <c r="H283" s="553" t="str">
        <f>IF(C283="","",IF(OR($D$9=5,$D$9=11),IF(AND(D$7&gt;0,ROUNDDOWN($D$14/6,0)&gt;=45),45,""),""))</f>
        <v/>
      </c>
      <c r="I283" s="603" t="str">
        <f t="shared" si="38"/>
        <v/>
      </c>
      <c r="J283" s="574" t="str">
        <f t="shared" si="39"/>
        <v/>
      </c>
      <c r="K283" s="582" t="str">
        <f t="shared" si="34"/>
        <v/>
      </c>
      <c r="L283" s="593" t="str">
        <f>IF(OR(L282=0,L282=""),"",IF(AND(H283="",C283=""),"",IF(COUNT(H283:H288)&gt;0,L282-IF(I283="",0,I283),"")))</f>
        <v/>
      </c>
    </row>
    <row r="284" spans="2:12">
      <c r="B284" s="540">
        <v>266</v>
      </c>
      <c r="C284" s="551" t="str">
        <f t="shared" si="32"/>
        <v/>
      </c>
      <c r="D284" s="565" t="str">
        <f t="shared" si="35"/>
        <v/>
      </c>
      <c r="E284" s="574" t="str">
        <f t="shared" si="36"/>
        <v/>
      </c>
      <c r="F284" s="580" t="str">
        <f t="shared" si="33"/>
        <v/>
      </c>
      <c r="G284" s="591" t="str">
        <f t="shared" si="37"/>
        <v/>
      </c>
      <c r="H284" s="551" t="str">
        <f>IF(C284="","",IF(OR($D$9=4,$D$9=10),IF(AND(D$7&gt;0,ROUNDDOWN($D$14/6,0)&gt;=45),45,""),""))</f>
        <v/>
      </c>
      <c r="I284" s="604" t="str">
        <f t="shared" si="38"/>
        <v/>
      </c>
      <c r="J284" s="574" t="str">
        <f t="shared" si="39"/>
        <v/>
      </c>
      <c r="K284" s="580" t="str">
        <f t="shared" si="34"/>
        <v/>
      </c>
      <c r="L284" s="591" t="str">
        <f>IF(OR(L283=0,L283=""),"",IF(AND(H284="",C284=""),"",IF(COUNT(H283:H288)&gt;0,L283-IF(I284="",0,I284),"")))</f>
        <v/>
      </c>
    </row>
    <row r="285" spans="2:12">
      <c r="B285" s="540">
        <v>267</v>
      </c>
      <c r="C285" s="551" t="str">
        <f t="shared" si="32"/>
        <v/>
      </c>
      <c r="D285" s="565" t="str">
        <f t="shared" si="35"/>
        <v/>
      </c>
      <c r="E285" s="574" t="str">
        <f t="shared" si="36"/>
        <v/>
      </c>
      <c r="F285" s="580" t="str">
        <f t="shared" si="33"/>
        <v/>
      </c>
      <c r="G285" s="591" t="str">
        <f t="shared" si="37"/>
        <v/>
      </c>
      <c r="H285" s="551" t="str">
        <f>IF(C285="","",IF(OR($D$9=3,$D$9=9),IF(AND(D$7&gt;0,ROUNDDOWN($D$14/6,0)&gt;=45),45,""),""))</f>
        <v/>
      </c>
      <c r="I285" s="604" t="str">
        <f t="shared" si="38"/>
        <v/>
      </c>
      <c r="J285" s="574" t="str">
        <f t="shared" si="39"/>
        <v/>
      </c>
      <c r="K285" s="580" t="str">
        <f t="shared" si="34"/>
        <v/>
      </c>
      <c r="L285" s="591" t="str">
        <f>IF(OR(L284=0,L284=""),"",IF(AND(H285="",C285=""),"",IF(COUNT(H283:H288)&gt;0,L284-IF(I285="",0,I285),"")))</f>
        <v/>
      </c>
    </row>
    <row r="286" spans="2:12">
      <c r="B286" s="540">
        <v>268</v>
      </c>
      <c r="C286" s="551" t="str">
        <f t="shared" si="32"/>
        <v/>
      </c>
      <c r="D286" s="565" t="str">
        <f t="shared" si="35"/>
        <v/>
      </c>
      <c r="E286" s="574" t="str">
        <f t="shared" si="36"/>
        <v/>
      </c>
      <c r="F286" s="580" t="str">
        <f t="shared" si="33"/>
        <v/>
      </c>
      <c r="G286" s="591" t="str">
        <f t="shared" si="37"/>
        <v/>
      </c>
      <c r="H286" s="551" t="str">
        <f>IF(C286="","",IF(OR($D$9=2,$D$9=8),IF(AND(D$7&gt;0,ROUNDDOWN($D$14/6,0)&gt;=45),45,""),""))</f>
        <v/>
      </c>
      <c r="I286" s="604" t="str">
        <f t="shared" si="38"/>
        <v/>
      </c>
      <c r="J286" s="574" t="str">
        <f t="shared" si="39"/>
        <v/>
      </c>
      <c r="K286" s="580" t="str">
        <f t="shared" si="34"/>
        <v/>
      </c>
      <c r="L286" s="591" t="str">
        <f>IF(OR(L285=0,L285=""),"",IF(AND(H286="",C286=""),"",IF(COUNT(H283:H288)&gt;0,L285-IF(I286="",0,I286),"")))</f>
        <v/>
      </c>
    </row>
    <row r="287" spans="2:12">
      <c r="B287" s="540">
        <v>269</v>
      </c>
      <c r="C287" s="551" t="str">
        <f t="shared" si="32"/>
        <v/>
      </c>
      <c r="D287" s="565" t="str">
        <f t="shared" si="35"/>
        <v/>
      </c>
      <c r="E287" s="574" t="str">
        <f t="shared" si="36"/>
        <v/>
      </c>
      <c r="F287" s="580" t="str">
        <f t="shared" si="33"/>
        <v/>
      </c>
      <c r="G287" s="591" t="str">
        <f t="shared" si="37"/>
        <v/>
      </c>
      <c r="H287" s="551" t="str">
        <f>IF(C287="","",IF(OR($D$9=1,$D$9=7),IF(AND(D$7&gt;0,ROUNDDOWN($D$14/6,0)&gt;=45),45,""),""))</f>
        <v/>
      </c>
      <c r="I287" s="604" t="str">
        <f t="shared" si="38"/>
        <v/>
      </c>
      <c r="J287" s="574" t="str">
        <f t="shared" si="39"/>
        <v/>
      </c>
      <c r="K287" s="580" t="str">
        <f t="shared" si="34"/>
        <v/>
      </c>
      <c r="L287" s="591" t="str">
        <f>IF(OR(L286=0,L286=""),"",IF(AND(H287="",C287=""),"",IF(COUNT(H283:H288)&gt;0,L286-IF(I287="",0,I287),"")))</f>
        <v/>
      </c>
    </row>
    <row r="288" spans="2:12">
      <c r="B288" s="540">
        <v>270</v>
      </c>
      <c r="C288" s="552" t="str">
        <f t="shared" si="32"/>
        <v/>
      </c>
      <c r="D288" s="566" t="str">
        <f t="shared" si="35"/>
        <v/>
      </c>
      <c r="E288" s="575" t="str">
        <f t="shared" si="36"/>
        <v/>
      </c>
      <c r="F288" s="581" t="str">
        <f t="shared" si="33"/>
        <v/>
      </c>
      <c r="G288" s="592" t="str">
        <f t="shared" si="37"/>
        <v/>
      </c>
      <c r="H288" s="552" t="str">
        <f>IF(C288="","",IF(OR($D$9=12,$D$9=6),IF(AND(D$7&gt;0,ROUNDDOWN($D$14/6,0)&gt;=45),45,""),""))</f>
        <v/>
      </c>
      <c r="I288" s="605" t="str">
        <f t="shared" si="38"/>
        <v/>
      </c>
      <c r="J288" s="575" t="str">
        <f t="shared" si="39"/>
        <v/>
      </c>
      <c r="K288" s="581" t="str">
        <f t="shared" si="34"/>
        <v/>
      </c>
      <c r="L288" s="592" t="str">
        <f>IF(OR(L287=0,L287=""),"",IF(AND(H288="",C288=""),"",IF(COUNT(H283:H288)&gt;0,L287-IF(I288="",0,I288),"")))</f>
        <v/>
      </c>
    </row>
    <row r="289" spans="2:12">
      <c r="B289" s="540">
        <v>271</v>
      </c>
      <c r="C289" s="551" t="str">
        <f t="shared" si="32"/>
        <v/>
      </c>
      <c r="D289" s="565" t="str">
        <f t="shared" si="35"/>
        <v/>
      </c>
      <c r="E289" s="574" t="str">
        <f t="shared" si="36"/>
        <v/>
      </c>
      <c r="F289" s="580" t="str">
        <f t="shared" si="33"/>
        <v/>
      </c>
      <c r="G289" s="591" t="str">
        <f t="shared" si="37"/>
        <v/>
      </c>
      <c r="H289" s="551" t="str">
        <f>IF(C289="","",IF(OR($D$9=5,$D$9=11),IF(AND(D$7&gt;0,ROUNDDOWN($D$14/6,0)&gt;=46),46,""),""))</f>
        <v/>
      </c>
      <c r="I289" s="603" t="str">
        <f t="shared" si="38"/>
        <v/>
      </c>
      <c r="J289" s="574" t="str">
        <f t="shared" si="39"/>
        <v/>
      </c>
      <c r="K289" s="582" t="str">
        <f t="shared" si="34"/>
        <v/>
      </c>
      <c r="L289" s="593" t="str">
        <f>IF(OR(L288=0,L288=""),"",IF(AND(H289="",C289=""),"",IF(COUNT(H289:H294)&gt;0,L288-IF(I289="",0,I289),"")))</f>
        <v/>
      </c>
    </row>
    <row r="290" spans="2:12">
      <c r="B290" s="540">
        <v>272</v>
      </c>
      <c r="C290" s="551" t="str">
        <f t="shared" si="32"/>
        <v/>
      </c>
      <c r="D290" s="565" t="str">
        <f t="shared" si="35"/>
        <v/>
      </c>
      <c r="E290" s="574" t="str">
        <f t="shared" si="36"/>
        <v/>
      </c>
      <c r="F290" s="580" t="str">
        <f t="shared" si="33"/>
        <v/>
      </c>
      <c r="G290" s="591" t="str">
        <f t="shared" si="37"/>
        <v/>
      </c>
      <c r="H290" s="551" t="str">
        <f>IF(C290="","",IF(OR($D$9=4,$D$9=10),IF(AND(D$7&gt;0,ROUNDDOWN($D$14/6,0)&gt;=46),46,""),""))</f>
        <v/>
      </c>
      <c r="I290" s="604" t="str">
        <f t="shared" si="38"/>
        <v/>
      </c>
      <c r="J290" s="574" t="str">
        <f t="shared" si="39"/>
        <v/>
      </c>
      <c r="K290" s="580" t="str">
        <f t="shared" si="34"/>
        <v/>
      </c>
      <c r="L290" s="591" t="str">
        <f>IF(OR(L289=0,L289=""),"",IF(AND(H290="",C290=""),"",IF(COUNT(H289:H294)&gt;0,L289-IF(I290="",0,I290),"")))</f>
        <v/>
      </c>
    </row>
    <row r="291" spans="2:12">
      <c r="B291" s="540">
        <v>273</v>
      </c>
      <c r="C291" s="551" t="str">
        <f t="shared" si="32"/>
        <v/>
      </c>
      <c r="D291" s="565" t="str">
        <f t="shared" si="35"/>
        <v/>
      </c>
      <c r="E291" s="574" t="str">
        <f t="shared" si="36"/>
        <v/>
      </c>
      <c r="F291" s="580" t="str">
        <f t="shared" si="33"/>
        <v/>
      </c>
      <c r="G291" s="591" t="str">
        <f t="shared" si="37"/>
        <v/>
      </c>
      <c r="H291" s="551" t="str">
        <f>IF(C291="","",IF(OR($D$9=3,$D$9=9),IF(AND(D$7&gt;0,ROUNDDOWN($D$14/6,0)&gt;=46),46,""),""))</f>
        <v/>
      </c>
      <c r="I291" s="604" t="str">
        <f t="shared" si="38"/>
        <v/>
      </c>
      <c r="J291" s="574" t="str">
        <f t="shared" si="39"/>
        <v/>
      </c>
      <c r="K291" s="580" t="str">
        <f t="shared" si="34"/>
        <v/>
      </c>
      <c r="L291" s="591" t="str">
        <f>IF(OR(L290=0,L290=""),"",IF(AND(H291="",C291=""),"",IF(COUNT(H289:H294)&gt;0,L290-IF(I291="",0,I291),"")))</f>
        <v/>
      </c>
    </row>
    <row r="292" spans="2:12">
      <c r="B292" s="540">
        <v>274</v>
      </c>
      <c r="C292" s="551" t="str">
        <f t="shared" si="32"/>
        <v/>
      </c>
      <c r="D292" s="565" t="str">
        <f t="shared" si="35"/>
        <v/>
      </c>
      <c r="E292" s="574" t="str">
        <f t="shared" si="36"/>
        <v/>
      </c>
      <c r="F292" s="580" t="str">
        <f t="shared" si="33"/>
        <v/>
      </c>
      <c r="G292" s="591" t="str">
        <f t="shared" si="37"/>
        <v/>
      </c>
      <c r="H292" s="551" t="str">
        <f>IF(C292="","",IF(OR($D$9=2,$D$9=8),IF(AND(D$7&gt;0,ROUNDDOWN($D$14/6,0)&gt;=46),46,""),""))</f>
        <v/>
      </c>
      <c r="I292" s="604" t="str">
        <f t="shared" si="38"/>
        <v/>
      </c>
      <c r="J292" s="574" t="str">
        <f t="shared" si="39"/>
        <v/>
      </c>
      <c r="K292" s="580" t="str">
        <f t="shared" si="34"/>
        <v/>
      </c>
      <c r="L292" s="591" t="str">
        <f>IF(OR(L291=0,L291=""),"",IF(AND(H292="",C292=""),"",IF(COUNT(H289:H294)&gt;0,L291-IF(I292="",0,I292),"")))</f>
        <v/>
      </c>
    </row>
    <row r="293" spans="2:12">
      <c r="B293" s="540">
        <v>275</v>
      </c>
      <c r="C293" s="551" t="str">
        <f t="shared" si="32"/>
        <v/>
      </c>
      <c r="D293" s="565" t="str">
        <f t="shared" si="35"/>
        <v/>
      </c>
      <c r="E293" s="574" t="str">
        <f t="shared" si="36"/>
        <v/>
      </c>
      <c r="F293" s="580" t="str">
        <f t="shared" si="33"/>
        <v/>
      </c>
      <c r="G293" s="591" t="str">
        <f t="shared" si="37"/>
        <v/>
      </c>
      <c r="H293" s="551" t="str">
        <f>IF(C293="","",IF(OR($D$9=1,$D$9=7),IF(AND(D$7&gt;0,ROUNDDOWN($D$14/6,0)&gt;=46),46,""),""))</f>
        <v/>
      </c>
      <c r="I293" s="604" t="str">
        <f t="shared" si="38"/>
        <v/>
      </c>
      <c r="J293" s="574" t="str">
        <f t="shared" si="39"/>
        <v/>
      </c>
      <c r="K293" s="580" t="str">
        <f t="shared" si="34"/>
        <v/>
      </c>
      <c r="L293" s="591" t="str">
        <f>IF(OR(L292=0,L292=""),"",IF(AND(H293="",C293=""),"",IF(COUNT(H289:H294)&gt;0,L292-IF(I293="",0,I293),"")))</f>
        <v/>
      </c>
    </row>
    <row r="294" spans="2:12">
      <c r="B294" s="540">
        <v>276</v>
      </c>
      <c r="C294" s="551" t="str">
        <f t="shared" si="32"/>
        <v/>
      </c>
      <c r="D294" s="565" t="str">
        <f t="shared" si="35"/>
        <v/>
      </c>
      <c r="E294" s="574" t="str">
        <f t="shared" si="36"/>
        <v/>
      </c>
      <c r="F294" s="580" t="str">
        <f t="shared" si="33"/>
        <v/>
      </c>
      <c r="G294" s="591" t="str">
        <f t="shared" si="37"/>
        <v/>
      </c>
      <c r="H294" s="551" t="str">
        <f>IF(C294="","",IF(OR($D$9=12,$D$9=6),IF(AND(D$7&gt;0,ROUNDDOWN($D$14/6,0)&gt;=46),46,""),""))</f>
        <v/>
      </c>
      <c r="I294" s="605" t="str">
        <f t="shared" si="38"/>
        <v/>
      </c>
      <c r="J294" s="575" t="str">
        <f t="shared" si="39"/>
        <v/>
      </c>
      <c r="K294" s="581" t="str">
        <f t="shared" si="34"/>
        <v/>
      </c>
      <c r="L294" s="592" t="str">
        <f>IF(OR(L293=0,L293=""),"",IF(AND(H294="",C294=""),"",IF(COUNT(H289:H294)&gt;0,L293-IF(I294="",0,I294),"")))</f>
        <v/>
      </c>
    </row>
    <row r="295" spans="2:12">
      <c r="B295" s="540">
        <v>277</v>
      </c>
      <c r="C295" s="553" t="str">
        <f t="shared" si="32"/>
        <v/>
      </c>
      <c r="D295" s="567" t="str">
        <f t="shared" si="35"/>
        <v/>
      </c>
      <c r="E295" s="576" t="str">
        <f t="shared" si="36"/>
        <v/>
      </c>
      <c r="F295" s="582" t="str">
        <f t="shared" si="33"/>
        <v/>
      </c>
      <c r="G295" s="593" t="str">
        <f t="shared" si="37"/>
        <v/>
      </c>
      <c r="H295" s="553" t="str">
        <f>IF(C295="","",IF(OR($D$9=5,$D$9=11),IF(AND(D$7&gt;0,ROUNDDOWN($D$14/6,0)&gt;=47),47,""),""))</f>
        <v/>
      </c>
      <c r="I295" s="603" t="str">
        <f t="shared" si="38"/>
        <v/>
      </c>
      <c r="J295" s="574" t="str">
        <f t="shared" si="39"/>
        <v/>
      </c>
      <c r="K295" s="582" t="str">
        <f t="shared" si="34"/>
        <v/>
      </c>
      <c r="L295" s="593" t="str">
        <f>IF(OR(L294=0,L294=""),"",IF(AND(H295="",C295=""),"",IF(COUNT(H295:H300)&gt;0,L294-IF(I295="",0,I295),"")))</f>
        <v/>
      </c>
    </row>
    <row r="296" spans="2:12">
      <c r="B296" s="540">
        <v>278</v>
      </c>
      <c r="C296" s="551" t="str">
        <f t="shared" si="32"/>
        <v/>
      </c>
      <c r="D296" s="565" t="str">
        <f t="shared" si="35"/>
        <v/>
      </c>
      <c r="E296" s="574" t="str">
        <f t="shared" si="36"/>
        <v/>
      </c>
      <c r="F296" s="580" t="str">
        <f t="shared" si="33"/>
        <v/>
      </c>
      <c r="G296" s="591" t="str">
        <f t="shared" si="37"/>
        <v/>
      </c>
      <c r="H296" s="551" t="str">
        <f>IF(C296="","",IF(OR($D$9=4,$D$9=10),IF(AND(D$7&gt;0,ROUNDDOWN($D$14/6,0)&gt;=47),47,""),""))</f>
        <v/>
      </c>
      <c r="I296" s="604" t="str">
        <f t="shared" si="38"/>
        <v/>
      </c>
      <c r="J296" s="574" t="str">
        <f t="shared" si="39"/>
        <v/>
      </c>
      <c r="K296" s="580" t="str">
        <f t="shared" si="34"/>
        <v/>
      </c>
      <c r="L296" s="591" t="str">
        <f>IF(OR(L295=0,L295=""),"",IF(AND(H296="",C296=""),"",IF(COUNT(H295:H300)&gt;0,L295-IF(I296="",0,I296),"")))</f>
        <v/>
      </c>
    </row>
    <row r="297" spans="2:12">
      <c r="B297" s="540">
        <v>279</v>
      </c>
      <c r="C297" s="551" t="str">
        <f t="shared" si="32"/>
        <v/>
      </c>
      <c r="D297" s="565" t="str">
        <f t="shared" si="35"/>
        <v/>
      </c>
      <c r="E297" s="574" t="str">
        <f t="shared" si="36"/>
        <v/>
      </c>
      <c r="F297" s="580" t="str">
        <f t="shared" si="33"/>
        <v/>
      </c>
      <c r="G297" s="591" t="str">
        <f t="shared" si="37"/>
        <v/>
      </c>
      <c r="H297" s="551" t="str">
        <f>IF(C297="","",IF(OR($D$9=3,$D$9=9),IF(AND(D$7&gt;0,ROUNDDOWN($D$14/6,0)&gt;=47),47,""),""))</f>
        <v/>
      </c>
      <c r="I297" s="604" t="str">
        <f t="shared" si="38"/>
        <v/>
      </c>
      <c r="J297" s="574" t="str">
        <f t="shared" si="39"/>
        <v/>
      </c>
      <c r="K297" s="580" t="str">
        <f t="shared" si="34"/>
        <v/>
      </c>
      <c r="L297" s="591" t="str">
        <f>IF(OR(L296=0,L296=""),"",IF(AND(H297="",C297=""),"",IF(COUNT(H295:H300)&gt;0,L296-IF(I297="",0,I297),"")))</f>
        <v/>
      </c>
    </row>
    <row r="298" spans="2:12">
      <c r="B298" s="540">
        <v>280</v>
      </c>
      <c r="C298" s="551" t="str">
        <f t="shared" si="32"/>
        <v/>
      </c>
      <c r="D298" s="565" t="str">
        <f t="shared" si="35"/>
        <v/>
      </c>
      <c r="E298" s="574" t="str">
        <f t="shared" si="36"/>
        <v/>
      </c>
      <c r="F298" s="580" t="str">
        <f t="shared" si="33"/>
        <v/>
      </c>
      <c r="G298" s="591" t="str">
        <f t="shared" si="37"/>
        <v/>
      </c>
      <c r="H298" s="551" t="str">
        <f>IF(C298="","",IF(OR($D$9=2,$D$9=8),IF(AND(D$7&gt;0,ROUNDDOWN($D$14/6,0)&gt;=47),47,""),""))</f>
        <v/>
      </c>
      <c r="I298" s="604" t="str">
        <f t="shared" si="38"/>
        <v/>
      </c>
      <c r="J298" s="574" t="str">
        <f t="shared" si="39"/>
        <v/>
      </c>
      <c r="K298" s="580" t="str">
        <f t="shared" si="34"/>
        <v/>
      </c>
      <c r="L298" s="591" t="str">
        <f>IF(OR(L297=0,L297=""),"",IF(AND(H298="",C298=""),"",IF(COUNT(H295:H300)&gt;0,L297-IF(I298="",0,I298),"")))</f>
        <v/>
      </c>
    </row>
    <row r="299" spans="2:12">
      <c r="B299" s="540">
        <v>281</v>
      </c>
      <c r="C299" s="551" t="str">
        <f t="shared" si="32"/>
        <v/>
      </c>
      <c r="D299" s="565" t="str">
        <f t="shared" si="35"/>
        <v/>
      </c>
      <c r="E299" s="574" t="str">
        <f t="shared" si="36"/>
        <v/>
      </c>
      <c r="F299" s="580" t="str">
        <f t="shared" si="33"/>
        <v/>
      </c>
      <c r="G299" s="591" t="str">
        <f t="shared" si="37"/>
        <v/>
      </c>
      <c r="H299" s="551" t="str">
        <f>IF(C299="","",IF(OR($D$9=1,$D$9=7),IF(AND(D$7&gt;0,ROUNDDOWN($D$14/6,0)&gt;=47),47,""),""))</f>
        <v/>
      </c>
      <c r="I299" s="604" t="str">
        <f t="shared" si="38"/>
        <v/>
      </c>
      <c r="J299" s="574" t="str">
        <f t="shared" si="39"/>
        <v/>
      </c>
      <c r="K299" s="580" t="str">
        <f t="shared" si="34"/>
        <v/>
      </c>
      <c r="L299" s="591" t="str">
        <f>IF(OR(L298=0,L298=""),"",IF(AND(H299="",C299=""),"",IF(COUNT(H295:H300)&gt;0,L298-IF(I299="",0,I299),"")))</f>
        <v/>
      </c>
    </row>
    <row r="300" spans="2:12">
      <c r="B300" s="540">
        <v>282</v>
      </c>
      <c r="C300" s="552" t="str">
        <f t="shared" si="32"/>
        <v/>
      </c>
      <c r="D300" s="566" t="str">
        <f t="shared" si="35"/>
        <v/>
      </c>
      <c r="E300" s="575" t="str">
        <f t="shared" si="36"/>
        <v/>
      </c>
      <c r="F300" s="581" t="str">
        <f t="shared" si="33"/>
        <v/>
      </c>
      <c r="G300" s="592" t="str">
        <f t="shared" si="37"/>
        <v/>
      </c>
      <c r="H300" s="552" t="str">
        <f>IF(C300="","",IF(OR($D$9=12,$D$9=6),IF(AND(D$7&gt;0,ROUNDDOWN($D$14/6,0)&gt;=47),47,""),""))</f>
        <v/>
      </c>
      <c r="I300" s="605" t="str">
        <f t="shared" si="38"/>
        <v/>
      </c>
      <c r="J300" s="575" t="str">
        <f t="shared" si="39"/>
        <v/>
      </c>
      <c r="K300" s="581" t="str">
        <f t="shared" si="34"/>
        <v/>
      </c>
      <c r="L300" s="592" t="str">
        <f>IF(OR(L299=0,L299=""),"",IF(AND(H300="",C300=""),"",IF(COUNT(H295:H300)&gt;0,L299-IF(I300="",0,I300),"")))</f>
        <v/>
      </c>
    </row>
    <row r="301" spans="2:12">
      <c r="B301" s="540">
        <v>283</v>
      </c>
      <c r="C301" s="551" t="str">
        <f t="shared" si="32"/>
        <v/>
      </c>
      <c r="D301" s="565" t="str">
        <f t="shared" si="35"/>
        <v/>
      </c>
      <c r="E301" s="574" t="str">
        <f t="shared" si="36"/>
        <v/>
      </c>
      <c r="F301" s="580" t="str">
        <f t="shared" si="33"/>
        <v/>
      </c>
      <c r="G301" s="591" t="str">
        <f t="shared" si="37"/>
        <v/>
      </c>
      <c r="H301" s="551" t="str">
        <f>IF(C301="","",IF(OR($D$9=5,$D$9=11),IF(AND(D$7&gt;0,ROUNDDOWN($D$14/6,0)&gt;=48),48,""),""))</f>
        <v/>
      </c>
      <c r="I301" s="603" t="str">
        <f t="shared" si="38"/>
        <v/>
      </c>
      <c r="J301" s="574" t="str">
        <f t="shared" si="39"/>
        <v/>
      </c>
      <c r="K301" s="582" t="str">
        <f t="shared" si="34"/>
        <v/>
      </c>
      <c r="L301" s="593" t="str">
        <f>IF(OR(L300=0,L300=""),"",IF(AND(H301="",C301=""),"",IF(COUNT(H301:H306)&gt;0,L300-IF(I301="",0,I301),"")))</f>
        <v/>
      </c>
    </row>
    <row r="302" spans="2:12">
      <c r="B302" s="540">
        <v>284</v>
      </c>
      <c r="C302" s="551" t="str">
        <f t="shared" si="32"/>
        <v/>
      </c>
      <c r="D302" s="565" t="str">
        <f t="shared" si="35"/>
        <v/>
      </c>
      <c r="E302" s="574" t="str">
        <f t="shared" si="36"/>
        <v/>
      </c>
      <c r="F302" s="580" t="str">
        <f t="shared" si="33"/>
        <v/>
      </c>
      <c r="G302" s="591" t="str">
        <f t="shared" si="37"/>
        <v/>
      </c>
      <c r="H302" s="551" t="str">
        <f>IF(C302="","",IF(OR($D$9=4,$D$9=10),IF(AND(D$7&gt;0,ROUNDDOWN($D$14/6,0)&gt;=48),48,""),""))</f>
        <v/>
      </c>
      <c r="I302" s="604" t="str">
        <f t="shared" si="38"/>
        <v/>
      </c>
      <c r="J302" s="574" t="str">
        <f t="shared" si="39"/>
        <v/>
      </c>
      <c r="K302" s="580" t="str">
        <f t="shared" si="34"/>
        <v/>
      </c>
      <c r="L302" s="591" t="str">
        <f>IF(OR(L301=0,L301=""),"",IF(AND(H302="",C302=""),"",IF(COUNT(H301:H306)&gt;0,L301-IF(I302="",0,I302),"")))</f>
        <v/>
      </c>
    </row>
    <row r="303" spans="2:12">
      <c r="B303" s="540">
        <v>285</v>
      </c>
      <c r="C303" s="551" t="str">
        <f t="shared" si="32"/>
        <v/>
      </c>
      <c r="D303" s="565" t="str">
        <f t="shared" si="35"/>
        <v/>
      </c>
      <c r="E303" s="574" t="str">
        <f t="shared" si="36"/>
        <v/>
      </c>
      <c r="F303" s="580" t="str">
        <f t="shared" si="33"/>
        <v/>
      </c>
      <c r="G303" s="591" t="str">
        <f t="shared" si="37"/>
        <v/>
      </c>
      <c r="H303" s="551" t="str">
        <f>IF(C303="","",IF(OR($D$9=3,$D$9=9),IF(AND(D$7&gt;0,ROUNDDOWN($D$14/6,0)&gt;=48),48,""),""))</f>
        <v/>
      </c>
      <c r="I303" s="604" t="str">
        <f t="shared" si="38"/>
        <v/>
      </c>
      <c r="J303" s="574" t="str">
        <f t="shared" si="39"/>
        <v/>
      </c>
      <c r="K303" s="580" t="str">
        <f t="shared" si="34"/>
        <v/>
      </c>
      <c r="L303" s="591" t="str">
        <f>IF(OR(L302=0,L302=""),"",IF(AND(H303="",C303=""),"",IF(COUNT(H301:H306)&gt;0,L302-IF(I303="",0,I303),"")))</f>
        <v/>
      </c>
    </row>
    <row r="304" spans="2:12">
      <c r="B304" s="540">
        <v>286</v>
      </c>
      <c r="C304" s="551" t="str">
        <f t="shared" si="32"/>
        <v/>
      </c>
      <c r="D304" s="565" t="str">
        <f t="shared" si="35"/>
        <v/>
      </c>
      <c r="E304" s="574" t="str">
        <f t="shared" si="36"/>
        <v/>
      </c>
      <c r="F304" s="580" t="str">
        <f t="shared" si="33"/>
        <v/>
      </c>
      <c r="G304" s="591" t="str">
        <f t="shared" si="37"/>
        <v/>
      </c>
      <c r="H304" s="551" t="str">
        <f>IF(C304="","",IF(OR($D$9=2,$D$9=8),IF(AND(D$7&gt;0,ROUNDDOWN($D$14/6,0)&gt;=48),48,""),""))</f>
        <v/>
      </c>
      <c r="I304" s="604" t="str">
        <f t="shared" si="38"/>
        <v/>
      </c>
      <c r="J304" s="574" t="str">
        <f t="shared" si="39"/>
        <v/>
      </c>
      <c r="K304" s="580" t="str">
        <f t="shared" si="34"/>
        <v/>
      </c>
      <c r="L304" s="591" t="str">
        <f>IF(OR(L303=0,L303=""),"",IF(AND(H304="",C304=""),"",IF(COUNT(H301:H306)&gt;0,L303-IF(I304="",0,I304),"")))</f>
        <v/>
      </c>
    </row>
    <row r="305" spans="2:12">
      <c r="B305" s="540">
        <v>287</v>
      </c>
      <c r="C305" s="551" t="str">
        <f t="shared" si="32"/>
        <v/>
      </c>
      <c r="D305" s="565" t="str">
        <f t="shared" si="35"/>
        <v/>
      </c>
      <c r="E305" s="574" t="str">
        <f t="shared" si="36"/>
        <v/>
      </c>
      <c r="F305" s="580" t="str">
        <f t="shared" si="33"/>
        <v/>
      </c>
      <c r="G305" s="591" t="str">
        <f t="shared" si="37"/>
        <v/>
      </c>
      <c r="H305" s="551" t="str">
        <f>IF(C305="","",IF(OR($D$9=1,$D$9=7),IF(AND(D$7&gt;0,ROUNDDOWN($D$14/6,0)&gt;=48),48,""),""))</f>
        <v/>
      </c>
      <c r="I305" s="604" t="str">
        <f t="shared" si="38"/>
        <v/>
      </c>
      <c r="J305" s="574" t="str">
        <f t="shared" si="39"/>
        <v/>
      </c>
      <c r="K305" s="580" t="str">
        <f t="shared" si="34"/>
        <v/>
      </c>
      <c r="L305" s="591" t="str">
        <f>IF(OR(L304=0,L304=""),"",IF(AND(H305="",C305=""),"",IF(COUNT(H301:H306)&gt;0,L304-IF(I305="",0,I305),"")))</f>
        <v/>
      </c>
    </row>
    <row r="306" spans="2:12">
      <c r="B306" s="540">
        <v>288</v>
      </c>
      <c r="C306" s="551" t="str">
        <f t="shared" si="32"/>
        <v/>
      </c>
      <c r="D306" s="565" t="str">
        <f t="shared" si="35"/>
        <v/>
      </c>
      <c r="E306" s="574" t="str">
        <f t="shared" si="36"/>
        <v/>
      </c>
      <c r="F306" s="580" t="str">
        <f t="shared" si="33"/>
        <v/>
      </c>
      <c r="G306" s="591" t="str">
        <f t="shared" si="37"/>
        <v/>
      </c>
      <c r="H306" s="551" t="str">
        <f>IF(C306="","",IF(OR($D$9=12,$D$9=6),IF(AND(D$7&gt;0,ROUNDDOWN($D$14/6,0)&gt;=48),48,""),""))</f>
        <v/>
      </c>
      <c r="I306" s="605" t="str">
        <f t="shared" si="38"/>
        <v/>
      </c>
      <c r="J306" s="575" t="str">
        <f t="shared" si="39"/>
        <v/>
      </c>
      <c r="K306" s="581" t="str">
        <f t="shared" si="34"/>
        <v/>
      </c>
      <c r="L306" s="592" t="str">
        <f>IF(OR(L305=0,L305=""),"",IF(AND(H306="",C306=""),"",IF(COUNT(H301:H306)&gt;0,L305-IF(I306="",0,I306),"")))</f>
        <v/>
      </c>
    </row>
    <row r="307" spans="2:12">
      <c r="B307" s="540">
        <v>289</v>
      </c>
      <c r="C307" s="553" t="str">
        <f t="shared" si="32"/>
        <v/>
      </c>
      <c r="D307" s="567" t="str">
        <f t="shared" si="35"/>
        <v/>
      </c>
      <c r="E307" s="576" t="str">
        <f t="shared" si="36"/>
        <v/>
      </c>
      <c r="F307" s="582" t="str">
        <f t="shared" si="33"/>
        <v/>
      </c>
      <c r="G307" s="593" t="str">
        <f t="shared" si="37"/>
        <v/>
      </c>
      <c r="H307" s="553" t="str">
        <f>IF(C307="","",IF(OR($D$9=5,$D$9=11),IF(AND(D$7&gt;0,ROUNDDOWN($D$14/6,0)&gt;=49),49,""),""))</f>
        <v/>
      </c>
      <c r="I307" s="603" t="str">
        <f t="shared" si="38"/>
        <v/>
      </c>
      <c r="J307" s="574" t="str">
        <f t="shared" si="39"/>
        <v/>
      </c>
      <c r="K307" s="582" t="str">
        <f t="shared" si="34"/>
        <v/>
      </c>
      <c r="L307" s="593" t="str">
        <f>IF(OR(L306=0,L306=""),"",IF(AND(H307="",C307=""),"",IF(COUNT(H307:H312)&gt;0,L306-IF(I307="",0,I307),"")))</f>
        <v/>
      </c>
    </row>
    <row r="308" spans="2:12">
      <c r="B308" s="540">
        <v>290</v>
      </c>
      <c r="C308" s="551" t="str">
        <f t="shared" si="32"/>
        <v/>
      </c>
      <c r="D308" s="565" t="str">
        <f t="shared" si="35"/>
        <v/>
      </c>
      <c r="E308" s="574" t="str">
        <f t="shared" si="36"/>
        <v/>
      </c>
      <c r="F308" s="580" t="str">
        <f t="shared" si="33"/>
        <v/>
      </c>
      <c r="G308" s="591" t="str">
        <f t="shared" si="37"/>
        <v/>
      </c>
      <c r="H308" s="551" t="str">
        <f>IF(C308="","",IF(OR($D$9=4,$D$9=10),IF(AND(D$7&gt;0,ROUNDDOWN($D$14/6,0)&gt;=49),49,""),""))</f>
        <v/>
      </c>
      <c r="I308" s="604" t="str">
        <f t="shared" si="38"/>
        <v/>
      </c>
      <c r="J308" s="574" t="str">
        <f t="shared" si="39"/>
        <v/>
      </c>
      <c r="K308" s="580" t="str">
        <f t="shared" si="34"/>
        <v/>
      </c>
      <c r="L308" s="591" t="str">
        <f>IF(OR(L307=0,L307=""),"",IF(AND(H308="",C308=""),"",IF(COUNT(H307:H312)&gt;0,L307-IF(I308="",0,I308),"")))</f>
        <v/>
      </c>
    </row>
    <row r="309" spans="2:12">
      <c r="B309" s="540">
        <v>291</v>
      </c>
      <c r="C309" s="551" t="str">
        <f t="shared" si="32"/>
        <v/>
      </c>
      <c r="D309" s="565" t="str">
        <f t="shared" si="35"/>
        <v/>
      </c>
      <c r="E309" s="574" t="str">
        <f t="shared" si="36"/>
        <v/>
      </c>
      <c r="F309" s="580" t="str">
        <f t="shared" si="33"/>
        <v/>
      </c>
      <c r="G309" s="591" t="str">
        <f t="shared" si="37"/>
        <v/>
      </c>
      <c r="H309" s="551" t="str">
        <f>IF(C309="","",IF(OR($D$9=3,$D$9=9),IF(AND(D$7&gt;0,ROUNDDOWN($D$14/6,0)&gt;=49),49,""),""))</f>
        <v/>
      </c>
      <c r="I309" s="604" t="str">
        <f t="shared" si="38"/>
        <v/>
      </c>
      <c r="J309" s="574" t="str">
        <f t="shared" si="39"/>
        <v/>
      </c>
      <c r="K309" s="580" t="str">
        <f t="shared" si="34"/>
        <v/>
      </c>
      <c r="L309" s="591" t="str">
        <f>IF(OR(L308=0,L308=""),"",IF(AND(H309="",C309=""),"",IF(COUNT(H307:H312)&gt;0,L308-IF(I309="",0,I309),"")))</f>
        <v/>
      </c>
    </row>
    <row r="310" spans="2:12">
      <c r="B310" s="540">
        <v>292</v>
      </c>
      <c r="C310" s="551" t="str">
        <f t="shared" si="32"/>
        <v/>
      </c>
      <c r="D310" s="565" t="str">
        <f t="shared" si="35"/>
        <v/>
      </c>
      <c r="E310" s="574" t="str">
        <f t="shared" si="36"/>
        <v/>
      </c>
      <c r="F310" s="580" t="str">
        <f t="shared" si="33"/>
        <v/>
      </c>
      <c r="G310" s="591" t="str">
        <f t="shared" si="37"/>
        <v/>
      </c>
      <c r="H310" s="551" t="str">
        <f>IF(C310="","",IF(OR($D$9=2,$D$9=8),IF(AND(D$7&gt;0,ROUNDDOWN($D$14/6,0)&gt;=49),49,""),""))</f>
        <v/>
      </c>
      <c r="I310" s="604" t="str">
        <f t="shared" si="38"/>
        <v/>
      </c>
      <c r="J310" s="574" t="str">
        <f t="shared" si="39"/>
        <v/>
      </c>
      <c r="K310" s="580" t="str">
        <f t="shared" si="34"/>
        <v/>
      </c>
      <c r="L310" s="591" t="str">
        <f>IF(OR(L309=0,L309=""),"",IF(AND(H310="",C310=""),"",IF(COUNT(H307:H312)&gt;0,L309-IF(I310="",0,I310),"")))</f>
        <v/>
      </c>
    </row>
    <row r="311" spans="2:12">
      <c r="B311" s="540">
        <v>293</v>
      </c>
      <c r="C311" s="551" t="str">
        <f t="shared" si="32"/>
        <v/>
      </c>
      <c r="D311" s="565" t="str">
        <f t="shared" si="35"/>
        <v/>
      </c>
      <c r="E311" s="574" t="str">
        <f t="shared" si="36"/>
        <v/>
      </c>
      <c r="F311" s="580" t="str">
        <f t="shared" si="33"/>
        <v/>
      </c>
      <c r="G311" s="591" t="str">
        <f t="shared" si="37"/>
        <v/>
      </c>
      <c r="H311" s="551" t="str">
        <f>IF(C311="","",IF(OR($D$9=1,$D$9=7),IF(AND(D$7&gt;0,ROUNDDOWN($D$14/6,0)&gt;=49),49,""),""))</f>
        <v/>
      </c>
      <c r="I311" s="604" t="str">
        <f t="shared" si="38"/>
        <v/>
      </c>
      <c r="J311" s="574" t="str">
        <f t="shared" si="39"/>
        <v/>
      </c>
      <c r="K311" s="580" t="str">
        <f t="shared" si="34"/>
        <v/>
      </c>
      <c r="L311" s="591" t="str">
        <f>IF(OR(L310=0,L310=""),"",IF(AND(H311="",C311=""),"",IF(COUNT(H307:H312)&gt;0,L310-IF(I311="",0,I311),"")))</f>
        <v/>
      </c>
    </row>
    <row r="312" spans="2:12">
      <c r="B312" s="540">
        <v>294</v>
      </c>
      <c r="C312" s="552" t="str">
        <f t="shared" si="32"/>
        <v/>
      </c>
      <c r="D312" s="566" t="str">
        <f t="shared" si="35"/>
        <v/>
      </c>
      <c r="E312" s="575" t="str">
        <f t="shared" si="36"/>
        <v/>
      </c>
      <c r="F312" s="581" t="str">
        <f t="shared" si="33"/>
        <v/>
      </c>
      <c r="G312" s="592" t="str">
        <f t="shared" si="37"/>
        <v/>
      </c>
      <c r="H312" s="551" t="str">
        <f>IF(C312="","",IF(OR($D$9=12,$D$9=6),IF(AND(D$7&gt;0,ROUNDDOWN($D$14/6,0)&gt;=49),49,""),""))</f>
        <v/>
      </c>
      <c r="I312" s="605" t="str">
        <f t="shared" si="38"/>
        <v/>
      </c>
      <c r="J312" s="575" t="str">
        <f t="shared" si="39"/>
        <v/>
      </c>
      <c r="K312" s="581" t="str">
        <f t="shared" si="34"/>
        <v/>
      </c>
      <c r="L312" s="592" t="str">
        <f>IF(OR(L311=0,L311=""),"",IF(AND(H312="",C312=""),"",IF(COUNT(H307:H312)&gt;0,L311-IF(I312="",0,I312),"")))</f>
        <v/>
      </c>
    </row>
    <row r="313" spans="2:12">
      <c r="B313" s="540">
        <v>295</v>
      </c>
      <c r="C313" s="551" t="str">
        <f t="shared" si="32"/>
        <v/>
      </c>
      <c r="D313" s="565" t="str">
        <f t="shared" si="35"/>
        <v/>
      </c>
      <c r="E313" s="574" t="str">
        <f t="shared" si="36"/>
        <v/>
      </c>
      <c r="F313" s="580" t="str">
        <f t="shared" si="33"/>
        <v/>
      </c>
      <c r="G313" s="591" t="str">
        <f t="shared" si="37"/>
        <v/>
      </c>
      <c r="H313" s="553" t="str">
        <f>IF(C313="","",IF(OR($D$9=5,$D$9=11),IF(AND(D$7&gt;0,ROUNDDOWN($D$14/6,0)&gt;=50),50,""),""))</f>
        <v/>
      </c>
      <c r="I313" s="603" t="str">
        <f t="shared" si="38"/>
        <v/>
      </c>
      <c r="J313" s="574" t="str">
        <f t="shared" si="39"/>
        <v/>
      </c>
      <c r="K313" s="582" t="str">
        <f t="shared" si="34"/>
        <v/>
      </c>
      <c r="L313" s="593" t="str">
        <f>IF(OR(L312=0,L312=""),"",IF(AND(H313="",C313=""),"",IF(COUNT(H313:H318)&gt;0,L312-IF(I313="",0,I313),"")))</f>
        <v/>
      </c>
    </row>
    <row r="314" spans="2:12">
      <c r="B314" s="540">
        <v>296</v>
      </c>
      <c r="C314" s="551" t="str">
        <f t="shared" si="32"/>
        <v/>
      </c>
      <c r="D314" s="565" t="str">
        <f t="shared" si="35"/>
        <v/>
      </c>
      <c r="E314" s="574" t="str">
        <f t="shared" si="36"/>
        <v/>
      </c>
      <c r="F314" s="580" t="str">
        <f t="shared" si="33"/>
        <v/>
      </c>
      <c r="G314" s="591" t="str">
        <f t="shared" si="37"/>
        <v/>
      </c>
      <c r="H314" s="551" t="str">
        <f>IF(C314="","",IF(OR($D$9=4,$D$9=10),IF(AND(D$7&gt;0,ROUNDDOWN($D$14/6,0)&gt;=50),50,""),""))</f>
        <v/>
      </c>
      <c r="I314" s="604" t="str">
        <f t="shared" si="38"/>
        <v/>
      </c>
      <c r="J314" s="574" t="str">
        <f t="shared" si="39"/>
        <v/>
      </c>
      <c r="K314" s="580" t="str">
        <f t="shared" si="34"/>
        <v/>
      </c>
      <c r="L314" s="591" t="str">
        <f>IF(OR(L313=0,L313=""),"",IF(AND(H314="",C314=""),"",IF(COUNT(H313:H318)&gt;0,L313-IF(I314="",0,I314),"")))</f>
        <v/>
      </c>
    </row>
    <row r="315" spans="2:12">
      <c r="B315" s="540">
        <v>297</v>
      </c>
      <c r="C315" s="551" t="str">
        <f t="shared" si="32"/>
        <v/>
      </c>
      <c r="D315" s="565" t="str">
        <f t="shared" si="35"/>
        <v/>
      </c>
      <c r="E315" s="574" t="str">
        <f t="shared" si="36"/>
        <v/>
      </c>
      <c r="F315" s="580" t="str">
        <f t="shared" si="33"/>
        <v/>
      </c>
      <c r="G315" s="591" t="str">
        <f t="shared" si="37"/>
        <v/>
      </c>
      <c r="H315" s="551" t="str">
        <f>IF(C315="","",IF(OR($D$9=3,$D$9=9),IF(AND(D$7&gt;0,ROUNDDOWN($D$14/6,0)&gt;=50),50,""),""))</f>
        <v/>
      </c>
      <c r="I315" s="604" t="str">
        <f t="shared" si="38"/>
        <v/>
      </c>
      <c r="J315" s="574" t="str">
        <f t="shared" si="39"/>
        <v/>
      </c>
      <c r="K315" s="580" t="str">
        <f t="shared" si="34"/>
        <v/>
      </c>
      <c r="L315" s="591" t="str">
        <f>IF(OR(L314=0,L314=""),"",IF(AND(H315="",C315=""),"",IF(COUNT(H313:H318)&gt;0,L314-IF(I315="",0,I315),"")))</f>
        <v/>
      </c>
    </row>
    <row r="316" spans="2:12">
      <c r="B316" s="540">
        <v>298</v>
      </c>
      <c r="C316" s="551" t="str">
        <f t="shared" si="32"/>
        <v/>
      </c>
      <c r="D316" s="565" t="str">
        <f t="shared" si="35"/>
        <v/>
      </c>
      <c r="E316" s="574" t="str">
        <f t="shared" si="36"/>
        <v/>
      </c>
      <c r="F316" s="580" t="str">
        <f t="shared" si="33"/>
        <v/>
      </c>
      <c r="G316" s="591" t="str">
        <f t="shared" si="37"/>
        <v/>
      </c>
      <c r="H316" s="551" t="str">
        <f>IF(C316="","",IF(OR($D$9=2,$D$9=8),IF(AND(D$7&gt;0,ROUNDDOWN($D$14/6,0)&gt;=50),50,""),""))</f>
        <v/>
      </c>
      <c r="I316" s="604" t="str">
        <f t="shared" si="38"/>
        <v/>
      </c>
      <c r="J316" s="574" t="str">
        <f t="shared" si="39"/>
        <v/>
      </c>
      <c r="K316" s="580" t="str">
        <f t="shared" si="34"/>
        <v/>
      </c>
      <c r="L316" s="591" t="str">
        <f>IF(OR(L315=0,L315=""),"",IF(AND(H316="",C316=""),"",IF(COUNT(H313:H318)&gt;0,L315-IF(I316="",0,I316),"")))</f>
        <v/>
      </c>
    </row>
    <row r="317" spans="2:12">
      <c r="B317" s="540">
        <v>299</v>
      </c>
      <c r="C317" s="551" t="str">
        <f t="shared" si="32"/>
        <v/>
      </c>
      <c r="D317" s="565" t="str">
        <f t="shared" si="35"/>
        <v/>
      </c>
      <c r="E317" s="574" t="str">
        <f t="shared" si="36"/>
        <v/>
      </c>
      <c r="F317" s="580" t="str">
        <f t="shared" si="33"/>
        <v/>
      </c>
      <c r="G317" s="591" t="str">
        <f t="shared" si="37"/>
        <v/>
      </c>
      <c r="H317" s="551" t="str">
        <f>IF(C317="","",IF(OR($D$9=1,$D$9=7),IF(AND(D$7&gt;0,ROUNDDOWN($D$14/6,0)&gt;=50),50,""),""))</f>
        <v/>
      </c>
      <c r="I317" s="604" t="str">
        <f t="shared" si="38"/>
        <v/>
      </c>
      <c r="J317" s="574" t="str">
        <f t="shared" si="39"/>
        <v/>
      </c>
      <c r="K317" s="580" t="str">
        <f t="shared" si="34"/>
        <v/>
      </c>
      <c r="L317" s="591" t="str">
        <f>IF(OR(L316=0,L316=""),"",IF(AND(H317="",C317=""),"",IF(COUNT(H313:H318)&gt;0,L316-IF(I317="",0,I317),"")))</f>
        <v/>
      </c>
    </row>
    <row r="318" spans="2:12">
      <c r="B318" s="540">
        <v>300</v>
      </c>
      <c r="C318" s="551" t="str">
        <f t="shared" si="32"/>
        <v/>
      </c>
      <c r="D318" s="565" t="str">
        <f t="shared" si="35"/>
        <v/>
      </c>
      <c r="E318" s="574" t="str">
        <f t="shared" si="36"/>
        <v/>
      </c>
      <c r="F318" s="580" t="str">
        <f t="shared" si="33"/>
        <v/>
      </c>
      <c r="G318" s="591" t="str">
        <f t="shared" si="37"/>
        <v/>
      </c>
      <c r="H318" s="552" t="str">
        <f>IF(C318="","",IF(OR($D$9=12,$D$9=6),IF(AND(D$7&gt;0,ROUNDDOWN($D$14/6,0)&gt;=50),50,""),""))</f>
        <v/>
      </c>
      <c r="I318" s="605" t="str">
        <f t="shared" si="38"/>
        <v/>
      </c>
      <c r="J318" s="575" t="str">
        <f t="shared" si="39"/>
        <v/>
      </c>
      <c r="K318" s="581" t="str">
        <f t="shared" si="34"/>
        <v/>
      </c>
      <c r="L318" s="592" t="str">
        <f>IF(OR(L317=0,L317=""),"",IF(AND(H318="",C318=""),"",IF(COUNT(H313:H318)&gt;0,L317-IF(I318="",0,I318),"")))</f>
        <v/>
      </c>
    </row>
    <row r="319" spans="2:12">
      <c r="B319" s="540">
        <v>301</v>
      </c>
      <c r="C319" s="553" t="str">
        <f t="shared" si="32"/>
        <v/>
      </c>
      <c r="D319" s="567" t="str">
        <f t="shared" si="35"/>
        <v/>
      </c>
      <c r="E319" s="576" t="str">
        <f t="shared" si="36"/>
        <v/>
      </c>
      <c r="F319" s="582" t="str">
        <f t="shared" si="33"/>
        <v/>
      </c>
      <c r="G319" s="593" t="str">
        <f t="shared" si="37"/>
        <v/>
      </c>
      <c r="H319" s="551" t="str">
        <f>IF(C319="","",IF(OR($D$9=5,$D$9=11),IF(AND(D$7&gt;0,ROUNDDOWN($D$14/6,0)&gt;=51),51,""),""))</f>
        <v/>
      </c>
      <c r="I319" s="603" t="str">
        <f t="shared" si="38"/>
        <v/>
      </c>
      <c r="J319" s="574" t="str">
        <f t="shared" si="39"/>
        <v/>
      </c>
      <c r="K319" s="582" t="str">
        <f t="shared" si="34"/>
        <v/>
      </c>
      <c r="L319" s="593" t="str">
        <f>IF(OR(L318=0,L318=""),"",IF(AND(H319="",C319=""),"",IF(COUNT(H319:H324)&gt;0,L318-IF(I319="",0,I319),"")))</f>
        <v/>
      </c>
    </row>
    <row r="320" spans="2:12">
      <c r="B320" s="540">
        <v>302</v>
      </c>
      <c r="C320" s="551" t="str">
        <f t="shared" si="32"/>
        <v/>
      </c>
      <c r="D320" s="565" t="str">
        <f t="shared" si="35"/>
        <v/>
      </c>
      <c r="E320" s="574" t="str">
        <f t="shared" si="36"/>
        <v/>
      </c>
      <c r="F320" s="580" t="str">
        <f t="shared" si="33"/>
        <v/>
      </c>
      <c r="G320" s="591" t="str">
        <f t="shared" si="37"/>
        <v/>
      </c>
      <c r="H320" s="551" t="str">
        <f>IF(C320="","",IF(OR($D$9=4,$D$9=10),IF(AND(D$7&gt;0,ROUNDDOWN($D$14/6,0)&gt;=51),51,""),""))</f>
        <v/>
      </c>
      <c r="I320" s="604" t="str">
        <f t="shared" si="38"/>
        <v/>
      </c>
      <c r="J320" s="574" t="str">
        <f t="shared" si="39"/>
        <v/>
      </c>
      <c r="K320" s="580" t="str">
        <f t="shared" si="34"/>
        <v/>
      </c>
      <c r="L320" s="591" t="str">
        <f>IF(OR(L319=0,L319=""),"",IF(AND(H320="",C320=""),"",IF(COUNT(H319:H324)&gt;0,L319-IF(I320="",0,I320),"")))</f>
        <v/>
      </c>
    </row>
    <row r="321" spans="2:12">
      <c r="B321" s="540">
        <v>303</v>
      </c>
      <c r="C321" s="551" t="str">
        <f t="shared" si="32"/>
        <v/>
      </c>
      <c r="D321" s="565" t="str">
        <f t="shared" si="35"/>
        <v/>
      </c>
      <c r="E321" s="574" t="str">
        <f t="shared" si="36"/>
        <v/>
      </c>
      <c r="F321" s="580" t="str">
        <f t="shared" si="33"/>
        <v/>
      </c>
      <c r="G321" s="591" t="str">
        <f t="shared" si="37"/>
        <v/>
      </c>
      <c r="H321" s="551" t="str">
        <f>IF(C321="","",IF(OR($D$9=3,$D$9=9),IF(AND(D$7&gt;0,ROUNDDOWN($D$14/6,0)&gt;=51),51,""),""))</f>
        <v/>
      </c>
      <c r="I321" s="604" t="str">
        <f t="shared" si="38"/>
        <v/>
      </c>
      <c r="J321" s="574" t="str">
        <f t="shared" si="39"/>
        <v/>
      </c>
      <c r="K321" s="580" t="str">
        <f t="shared" si="34"/>
        <v/>
      </c>
      <c r="L321" s="591" t="str">
        <f>IF(OR(L320=0,L320=""),"",IF(AND(H321="",C321=""),"",IF(COUNT(H319:H324)&gt;0,L320-IF(I321="",0,I321),"")))</f>
        <v/>
      </c>
    </row>
    <row r="322" spans="2:12">
      <c r="B322" s="540">
        <v>304</v>
      </c>
      <c r="C322" s="551" t="str">
        <f t="shared" si="32"/>
        <v/>
      </c>
      <c r="D322" s="565" t="str">
        <f t="shared" si="35"/>
        <v/>
      </c>
      <c r="E322" s="574" t="str">
        <f t="shared" si="36"/>
        <v/>
      </c>
      <c r="F322" s="580" t="str">
        <f t="shared" si="33"/>
        <v/>
      </c>
      <c r="G322" s="591" t="str">
        <f t="shared" si="37"/>
        <v/>
      </c>
      <c r="H322" s="551" t="str">
        <f>IF(C322="","",IF(OR($D$9=2,$D$9=8),IF(AND(D$7&gt;0,ROUNDDOWN($D$14/6,0)&gt;=51),51,""),""))</f>
        <v/>
      </c>
      <c r="I322" s="604" t="str">
        <f t="shared" si="38"/>
        <v/>
      </c>
      <c r="J322" s="574" t="str">
        <f t="shared" si="39"/>
        <v/>
      </c>
      <c r="K322" s="580" t="str">
        <f t="shared" si="34"/>
        <v/>
      </c>
      <c r="L322" s="591" t="str">
        <f>IF(OR(L321=0,L321=""),"",IF(AND(H322="",C322=""),"",IF(COUNT(H319:H324)&gt;0,L321-IF(I322="",0,I322),"")))</f>
        <v/>
      </c>
    </row>
    <row r="323" spans="2:12">
      <c r="B323" s="540">
        <v>305</v>
      </c>
      <c r="C323" s="551" t="str">
        <f t="shared" si="32"/>
        <v/>
      </c>
      <c r="D323" s="565" t="str">
        <f t="shared" si="35"/>
        <v/>
      </c>
      <c r="E323" s="574" t="str">
        <f t="shared" si="36"/>
        <v/>
      </c>
      <c r="F323" s="580" t="str">
        <f t="shared" si="33"/>
        <v/>
      </c>
      <c r="G323" s="591" t="str">
        <f t="shared" si="37"/>
        <v/>
      </c>
      <c r="H323" s="551" t="str">
        <f>IF(C323="","",IF(OR($D$9=1,$D$9=7),IF(AND(D$7&gt;0,ROUNDDOWN($D$14/6,0)&gt;=51),51,""),""))</f>
        <v/>
      </c>
      <c r="I323" s="604" t="str">
        <f t="shared" si="38"/>
        <v/>
      </c>
      <c r="J323" s="574" t="str">
        <f t="shared" si="39"/>
        <v/>
      </c>
      <c r="K323" s="580" t="str">
        <f t="shared" si="34"/>
        <v/>
      </c>
      <c r="L323" s="591" t="str">
        <f>IF(OR(L322=0,L322=""),"",IF(AND(H323="",C323=""),"",IF(COUNT(H319:H324)&gt;0,L322-IF(I323="",0,I323),"")))</f>
        <v/>
      </c>
    </row>
    <row r="324" spans="2:12">
      <c r="B324" s="540">
        <v>306</v>
      </c>
      <c r="C324" s="552" t="str">
        <f t="shared" si="32"/>
        <v/>
      </c>
      <c r="D324" s="566" t="str">
        <f t="shared" si="35"/>
        <v/>
      </c>
      <c r="E324" s="575" t="str">
        <f t="shared" si="36"/>
        <v/>
      </c>
      <c r="F324" s="581" t="str">
        <f t="shared" si="33"/>
        <v/>
      </c>
      <c r="G324" s="592" t="str">
        <f t="shared" si="37"/>
        <v/>
      </c>
      <c r="H324" s="551" t="str">
        <f>IF(C324="","",IF(OR($D$9=12,$D$9=6),IF(AND(D$7&gt;0,ROUNDDOWN($D$14/6,0)&gt;=51),51,""),""))</f>
        <v/>
      </c>
      <c r="I324" s="605" t="str">
        <f t="shared" si="38"/>
        <v/>
      </c>
      <c r="J324" s="575" t="str">
        <f t="shared" si="39"/>
        <v/>
      </c>
      <c r="K324" s="581" t="str">
        <f t="shared" si="34"/>
        <v/>
      </c>
      <c r="L324" s="592" t="str">
        <f>IF(OR(L323=0,L323=""),"",IF(AND(H324="",C324=""),"",IF(COUNT(H319:H324)&gt;0,L323-IF(I324="",0,I324),"")))</f>
        <v/>
      </c>
    </row>
    <row r="325" spans="2:12">
      <c r="B325" s="540">
        <v>307</v>
      </c>
      <c r="C325" s="551" t="str">
        <f t="shared" si="32"/>
        <v/>
      </c>
      <c r="D325" s="565" t="str">
        <f t="shared" si="35"/>
        <v/>
      </c>
      <c r="E325" s="574" t="str">
        <f t="shared" si="36"/>
        <v/>
      </c>
      <c r="F325" s="580" t="str">
        <f t="shared" si="33"/>
        <v/>
      </c>
      <c r="G325" s="591" t="str">
        <f t="shared" si="37"/>
        <v/>
      </c>
      <c r="H325" s="553" t="str">
        <f>IF(C325="","",IF(OR($D$9=5,$D$9=11),IF(AND(D$7&gt;0,ROUNDDOWN($D$14/6,0)&gt;=52),52,""),""))</f>
        <v/>
      </c>
      <c r="I325" s="603" t="str">
        <f t="shared" si="38"/>
        <v/>
      </c>
      <c r="J325" s="574" t="str">
        <f t="shared" si="39"/>
        <v/>
      </c>
      <c r="K325" s="582" t="str">
        <f t="shared" si="34"/>
        <v/>
      </c>
      <c r="L325" s="593" t="str">
        <f>IF(OR(L324=0,L324=""),"",IF(AND(H325="",C325=""),"",IF(COUNT(H325:H330)&gt;0,L324-IF(I325="",0,I325),"")))</f>
        <v/>
      </c>
    </row>
    <row r="326" spans="2:12">
      <c r="B326" s="540">
        <v>308</v>
      </c>
      <c r="C326" s="551" t="str">
        <f t="shared" si="32"/>
        <v/>
      </c>
      <c r="D326" s="565" t="str">
        <f t="shared" si="35"/>
        <v/>
      </c>
      <c r="E326" s="574" t="str">
        <f t="shared" si="36"/>
        <v/>
      </c>
      <c r="F326" s="580" t="str">
        <f t="shared" si="33"/>
        <v/>
      </c>
      <c r="G326" s="591" t="str">
        <f t="shared" si="37"/>
        <v/>
      </c>
      <c r="H326" s="551" t="str">
        <f>IF(C326="","",IF(OR($D$9=4,$D$9=10),IF(AND(D$7&gt;0,ROUNDDOWN($D$14/6,0)&gt;=52),52,""),""))</f>
        <v/>
      </c>
      <c r="I326" s="604" t="str">
        <f t="shared" si="38"/>
        <v/>
      </c>
      <c r="J326" s="574" t="str">
        <f t="shared" si="39"/>
        <v/>
      </c>
      <c r="K326" s="580" t="str">
        <f t="shared" si="34"/>
        <v/>
      </c>
      <c r="L326" s="591" t="str">
        <f>IF(OR(L325=0,L325=""),"",IF(AND(H326="",C326=""),"",IF(COUNT(H325:H330)&gt;0,L325-IF(I326="",0,I326),"")))</f>
        <v/>
      </c>
    </row>
    <row r="327" spans="2:12">
      <c r="B327" s="540">
        <v>309</v>
      </c>
      <c r="C327" s="551" t="str">
        <f t="shared" si="32"/>
        <v/>
      </c>
      <c r="D327" s="565" t="str">
        <f t="shared" si="35"/>
        <v/>
      </c>
      <c r="E327" s="574" t="str">
        <f t="shared" si="36"/>
        <v/>
      </c>
      <c r="F327" s="580" t="str">
        <f t="shared" si="33"/>
        <v/>
      </c>
      <c r="G327" s="591" t="str">
        <f t="shared" si="37"/>
        <v/>
      </c>
      <c r="H327" s="551" t="str">
        <f>IF(C327="","",IF(OR($D$9=3,$D$9=9),IF(AND(D$7&gt;0,ROUNDDOWN($D$14/6,0)&gt;=52),52,""),""))</f>
        <v/>
      </c>
      <c r="I327" s="604" t="str">
        <f t="shared" si="38"/>
        <v/>
      </c>
      <c r="J327" s="574" t="str">
        <f t="shared" si="39"/>
        <v/>
      </c>
      <c r="K327" s="580" t="str">
        <f t="shared" si="34"/>
        <v/>
      </c>
      <c r="L327" s="591" t="str">
        <f>IF(OR(L326=0,L326=""),"",IF(AND(H327="",C327=""),"",IF(COUNT(H325:H330)&gt;0,L326-IF(I327="",0,I327),"")))</f>
        <v/>
      </c>
    </row>
    <row r="328" spans="2:12">
      <c r="B328" s="540">
        <v>310</v>
      </c>
      <c r="C328" s="551" t="str">
        <f t="shared" si="32"/>
        <v/>
      </c>
      <c r="D328" s="565" t="str">
        <f t="shared" si="35"/>
        <v/>
      </c>
      <c r="E328" s="574" t="str">
        <f t="shared" si="36"/>
        <v/>
      </c>
      <c r="F328" s="580" t="str">
        <f t="shared" si="33"/>
        <v/>
      </c>
      <c r="G328" s="591" t="str">
        <f t="shared" si="37"/>
        <v/>
      </c>
      <c r="H328" s="551" t="str">
        <f>IF(C328="","",IF(OR($D$9=2,$D$9=8),IF(AND(D$7&gt;0,ROUNDDOWN($D$14/6,0)&gt;=52),52,""),""))</f>
        <v/>
      </c>
      <c r="I328" s="604" t="str">
        <f t="shared" si="38"/>
        <v/>
      </c>
      <c r="J328" s="574" t="str">
        <f t="shared" si="39"/>
        <v/>
      </c>
      <c r="K328" s="580" t="str">
        <f t="shared" si="34"/>
        <v/>
      </c>
      <c r="L328" s="591" t="str">
        <f>IF(OR(L327=0,L327=""),"",IF(AND(H328="",C328=""),"",IF(COUNT(H325:H330)&gt;0,L327-IF(I328="",0,I328),"")))</f>
        <v/>
      </c>
    </row>
    <row r="329" spans="2:12">
      <c r="B329" s="540">
        <v>311</v>
      </c>
      <c r="C329" s="551" t="str">
        <f t="shared" si="32"/>
        <v/>
      </c>
      <c r="D329" s="565" t="str">
        <f t="shared" si="35"/>
        <v/>
      </c>
      <c r="E329" s="574" t="str">
        <f t="shared" si="36"/>
        <v/>
      </c>
      <c r="F329" s="580" t="str">
        <f t="shared" si="33"/>
        <v/>
      </c>
      <c r="G329" s="591" t="str">
        <f t="shared" si="37"/>
        <v/>
      </c>
      <c r="H329" s="551" t="str">
        <f>IF(C329="","",IF(OR($D$9=1,$D$9=7),IF(AND(D$7&gt;0,ROUNDDOWN($D$14/6,0)&gt;=52),52,""),""))</f>
        <v/>
      </c>
      <c r="I329" s="604" t="str">
        <f t="shared" si="38"/>
        <v/>
      </c>
      <c r="J329" s="574" t="str">
        <f t="shared" si="39"/>
        <v/>
      </c>
      <c r="K329" s="580" t="str">
        <f t="shared" si="34"/>
        <v/>
      </c>
      <c r="L329" s="591" t="str">
        <f>IF(OR(L328=0,L328=""),"",IF(AND(H329="",C329=""),"",IF(COUNT(H325:H330)&gt;0,L328-IF(I329="",0,I329),"")))</f>
        <v/>
      </c>
    </row>
    <row r="330" spans="2:12">
      <c r="B330" s="540">
        <v>312</v>
      </c>
      <c r="C330" s="551" t="str">
        <f t="shared" si="32"/>
        <v/>
      </c>
      <c r="D330" s="565" t="str">
        <f t="shared" si="35"/>
        <v/>
      </c>
      <c r="E330" s="574" t="str">
        <f t="shared" si="36"/>
        <v/>
      </c>
      <c r="F330" s="580" t="str">
        <f t="shared" si="33"/>
        <v/>
      </c>
      <c r="G330" s="591" t="str">
        <f t="shared" si="37"/>
        <v/>
      </c>
      <c r="H330" s="551" t="str">
        <f>IF(C330="","",IF(OR($D$9=12,$D$9=6),IF(AND(D$7&gt;0,ROUNDDOWN($D$14/6,0)&gt;=52),52,""),""))</f>
        <v/>
      </c>
      <c r="I330" s="605" t="str">
        <f t="shared" si="38"/>
        <v/>
      </c>
      <c r="J330" s="575" t="str">
        <f t="shared" si="39"/>
        <v/>
      </c>
      <c r="K330" s="581" t="str">
        <f t="shared" si="34"/>
        <v/>
      </c>
      <c r="L330" s="592" t="str">
        <f>IF(OR(L329=0,L329=""),"",IF(AND(H330="",C330=""),"",IF(COUNT(H325:H330)&gt;0,L329-IF(I330="",0,I330),"")))</f>
        <v/>
      </c>
    </row>
    <row r="331" spans="2:12">
      <c r="B331" s="540">
        <v>313</v>
      </c>
      <c r="C331" s="553" t="str">
        <f t="shared" si="32"/>
        <v/>
      </c>
      <c r="D331" s="567" t="str">
        <f t="shared" si="35"/>
        <v/>
      </c>
      <c r="E331" s="576" t="str">
        <f t="shared" si="36"/>
        <v/>
      </c>
      <c r="F331" s="582" t="str">
        <f t="shared" si="33"/>
        <v/>
      </c>
      <c r="G331" s="593" t="str">
        <f t="shared" si="37"/>
        <v/>
      </c>
      <c r="H331" s="553" t="str">
        <f>IF(C331="","",IF(OR($D$9=5,$D$9=11),IF(AND(D$7&gt;0,ROUNDDOWN($D$14/6,0)&gt;=53),53,""),""))</f>
        <v/>
      </c>
      <c r="I331" s="603" t="str">
        <f t="shared" si="38"/>
        <v/>
      </c>
      <c r="J331" s="574" t="str">
        <f t="shared" si="39"/>
        <v/>
      </c>
      <c r="K331" s="582" t="str">
        <f t="shared" si="34"/>
        <v/>
      </c>
      <c r="L331" s="593" t="str">
        <f>IF(OR(L330=0,L330=""),"",IF(AND(H331="",C331=""),"",IF(COUNT(H331:H336)&gt;0,L330-IF(I331="",0,I331),"")))</f>
        <v/>
      </c>
    </row>
    <row r="332" spans="2:12">
      <c r="B332" s="540">
        <v>314</v>
      </c>
      <c r="C332" s="551" t="str">
        <f t="shared" si="32"/>
        <v/>
      </c>
      <c r="D332" s="565" t="str">
        <f t="shared" si="35"/>
        <v/>
      </c>
      <c r="E332" s="574" t="str">
        <f t="shared" si="36"/>
        <v/>
      </c>
      <c r="F332" s="580" t="str">
        <f t="shared" si="33"/>
        <v/>
      </c>
      <c r="G332" s="591" t="str">
        <f t="shared" si="37"/>
        <v/>
      </c>
      <c r="H332" s="551" t="str">
        <f>IF(C332="","",IF(OR($D$9=4,$D$9=10),IF(AND(D$7&gt;0,ROUNDDOWN($D$14/6,0)&gt;=53),53,""),""))</f>
        <v/>
      </c>
      <c r="I332" s="604" t="str">
        <f t="shared" si="38"/>
        <v/>
      </c>
      <c r="J332" s="574" t="str">
        <f t="shared" si="39"/>
        <v/>
      </c>
      <c r="K332" s="580" t="str">
        <f t="shared" si="34"/>
        <v/>
      </c>
      <c r="L332" s="591" t="str">
        <f>IF(OR(L331=0,L331=""),"",IF(AND(H332="",C332=""),"",IF(COUNT(H331:H336)&gt;0,L331-IF(I332="",0,I332),"")))</f>
        <v/>
      </c>
    </row>
    <row r="333" spans="2:12">
      <c r="B333" s="540">
        <v>315</v>
      </c>
      <c r="C333" s="551" t="str">
        <f t="shared" si="32"/>
        <v/>
      </c>
      <c r="D333" s="565" t="str">
        <f t="shared" si="35"/>
        <v/>
      </c>
      <c r="E333" s="574" t="str">
        <f t="shared" si="36"/>
        <v/>
      </c>
      <c r="F333" s="580" t="str">
        <f t="shared" si="33"/>
        <v/>
      </c>
      <c r="G333" s="591" t="str">
        <f t="shared" si="37"/>
        <v/>
      </c>
      <c r="H333" s="551" t="str">
        <f>IF(C333="","",IF(OR($D$9=3,$D$9=9),IF(AND(D$7&gt;0,ROUNDDOWN($D$14/6,0)&gt;=53),53,""),""))</f>
        <v/>
      </c>
      <c r="I333" s="604" t="str">
        <f t="shared" si="38"/>
        <v/>
      </c>
      <c r="J333" s="574" t="str">
        <f t="shared" si="39"/>
        <v/>
      </c>
      <c r="K333" s="580" t="str">
        <f t="shared" si="34"/>
        <v/>
      </c>
      <c r="L333" s="591" t="str">
        <f>IF(OR(L332=0,L332=""),"",IF(AND(H333="",C333=""),"",IF(COUNT(H331:H336)&gt;0,L332-IF(I333="",0,I333),"")))</f>
        <v/>
      </c>
    </row>
    <row r="334" spans="2:12">
      <c r="B334" s="540">
        <v>316</v>
      </c>
      <c r="C334" s="551" t="str">
        <f t="shared" si="32"/>
        <v/>
      </c>
      <c r="D334" s="565" t="str">
        <f t="shared" si="35"/>
        <v/>
      </c>
      <c r="E334" s="574" t="str">
        <f t="shared" si="36"/>
        <v/>
      </c>
      <c r="F334" s="580" t="str">
        <f t="shared" si="33"/>
        <v/>
      </c>
      <c r="G334" s="591" t="str">
        <f t="shared" si="37"/>
        <v/>
      </c>
      <c r="H334" s="551" t="str">
        <f>IF(C334="","",IF(OR($D$9=2,$D$9=8),IF(AND(D$7&gt;0,ROUNDDOWN($D$14/6,0)&gt;=53),53,""),""))</f>
        <v/>
      </c>
      <c r="I334" s="604" t="str">
        <f t="shared" si="38"/>
        <v/>
      </c>
      <c r="J334" s="574" t="str">
        <f t="shared" si="39"/>
        <v/>
      </c>
      <c r="K334" s="580" t="str">
        <f t="shared" si="34"/>
        <v/>
      </c>
      <c r="L334" s="591" t="str">
        <f>IF(OR(L333=0,L333=""),"",IF(AND(H334="",C334=""),"",IF(COUNT(H331:H336)&gt;0,L333-IF(I334="",0,I334),"")))</f>
        <v/>
      </c>
    </row>
    <row r="335" spans="2:12">
      <c r="B335" s="540">
        <v>317</v>
      </c>
      <c r="C335" s="551" t="str">
        <f t="shared" si="32"/>
        <v/>
      </c>
      <c r="D335" s="565" t="str">
        <f t="shared" si="35"/>
        <v/>
      </c>
      <c r="E335" s="574" t="str">
        <f t="shared" si="36"/>
        <v/>
      </c>
      <c r="F335" s="580" t="str">
        <f t="shared" si="33"/>
        <v/>
      </c>
      <c r="G335" s="591" t="str">
        <f t="shared" si="37"/>
        <v/>
      </c>
      <c r="H335" s="551" t="str">
        <f>IF(C335="","",IF(OR($D$9=1,$D$9=7),IF(AND(D$7&gt;0,ROUNDDOWN($D$14/6,0)&gt;=53),53,""),""))</f>
        <v/>
      </c>
      <c r="I335" s="604" t="str">
        <f t="shared" si="38"/>
        <v/>
      </c>
      <c r="J335" s="574" t="str">
        <f t="shared" si="39"/>
        <v/>
      </c>
      <c r="K335" s="580" t="str">
        <f t="shared" si="34"/>
        <v/>
      </c>
      <c r="L335" s="591" t="str">
        <f>IF(OR(L334=0,L334=""),"",IF(AND(H335="",C335=""),"",IF(COUNT(H331:H336)&gt;0,L334-IF(I335="",0,I335),"")))</f>
        <v/>
      </c>
    </row>
    <row r="336" spans="2:12">
      <c r="B336" s="540">
        <v>318</v>
      </c>
      <c r="C336" s="552" t="str">
        <f t="shared" si="32"/>
        <v/>
      </c>
      <c r="D336" s="566" t="str">
        <f t="shared" si="35"/>
        <v/>
      </c>
      <c r="E336" s="575" t="str">
        <f t="shared" si="36"/>
        <v/>
      </c>
      <c r="F336" s="581" t="str">
        <f t="shared" si="33"/>
        <v/>
      </c>
      <c r="G336" s="592" t="str">
        <f t="shared" si="37"/>
        <v/>
      </c>
      <c r="H336" s="552" t="str">
        <f>IF(C336="","",IF(OR($D$9=12,$D$9=6),IF(AND(D$7&gt;0,ROUNDDOWN($D$14/6,0)&gt;=53),53,""),""))</f>
        <v/>
      </c>
      <c r="I336" s="605" t="str">
        <f t="shared" si="38"/>
        <v/>
      </c>
      <c r="J336" s="575" t="str">
        <f t="shared" si="39"/>
        <v/>
      </c>
      <c r="K336" s="581" t="str">
        <f t="shared" si="34"/>
        <v/>
      </c>
      <c r="L336" s="592" t="str">
        <f>IF(OR(L335=0,L335=""),"",IF(AND(H336="",C336=""),"",IF(COUNT(H331:H336)&gt;0,L335-IF(I336="",0,I336),"")))</f>
        <v/>
      </c>
    </row>
    <row r="337" spans="2:12">
      <c r="B337" s="540">
        <v>319</v>
      </c>
      <c r="C337" s="551" t="str">
        <f t="shared" si="32"/>
        <v/>
      </c>
      <c r="D337" s="565" t="str">
        <f t="shared" si="35"/>
        <v/>
      </c>
      <c r="E337" s="574" t="str">
        <f t="shared" si="36"/>
        <v/>
      </c>
      <c r="F337" s="580" t="str">
        <f t="shared" si="33"/>
        <v/>
      </c>
      <c r="G337" s="591" t="str">
        <f t="shared" si="37"/>
        <v/>
      </c>
      <c r="H337" s="551" t="str">
        <f>IF(C337="","",IF(OR($D$9=5,$D$9=11),IF(AND(D$7&gt;0,ROUNDDOWN($D$14/6,0)&gt;=54),54,""),""))</f>
        <v/>
      </c>
      <c r="I337" s="603" t="str">
        <f t="shared" si="38"/>
        <v/>
      </c>
      <c r="J337" s="574" t="str">
        <f t="shared" si="39"/>
        <v/>
      </c>
      <c r="K337" s="582" t="str">
        <f t="shared" si="34"/>
        <v/>
      </c>
      <c r="L337" s="593" t="str">
        <f>IF(OR(L336=0,L336=""),"",IF(AND(H337="",C337=""),"",IF(COUNT(H337:H342)&gt;0,L336-IF(I337="",0,I337),"")))</f>
        <v/>
      </c>
    </row>
    <row r="338" spans="2:12">
      <c r="B338" s="540">
        <v>320</v>
      </c>
      <c r="C338" s="551" t="str">
        <f t="shared" si="32"/>
        <v/>
      </c>
      <c r="D338" s="565" t="str">
        <f t="shared" si="35"/>
        <v/>
      </c>
      <c r="E338" s="574" t="str">
        <f t="shared" si="36"/>
        <v/>
      </c>
      <c r="F338" s="580" t="str">
        <f t="shared" si="33"/>
        <v/>
      </c>
      <c r="G338" s="591" t="str">
        <f t="shared" si="37"/>
        <v/>
      </c>
      <c r="H338" s="551" t="str">
        <f>IF(C338="","",IF(OR($D$9=4,$D$9=10),IF(AND(D$7&gt;0,ROUNDDOWN($D$14/6,0)&gt;=54),54,""),""))</f>
        <v/>
      </c>
      <c r="I338" s="604" t="str">
        <f t="shared" si="38"/>
        <v/>
      </c>
      <c r="J338" s="574" t="str">
        <f t="shared" si="39"/>
        <v/>
      </c>
      <c r="K338" s="580" t="str">
        <f t="shared" si="34"/>
        <v/>
      </c>
      <c r="L338" s="591" t="str">
        <f>IF(OR(L337=0,L337=""),"",IF(AND(H338="",C338=""),"",IF(COUNT(H337:H342)&gt;0,L337-IF(I338="",0,I338),"")))</f>
        <v/>
      </c>
    </row>
    <row r="339" spans="2:12">
      <c r="B339" s="540">
        <v>321</v>
      </c>
      <c r="C339" s="551" t="str">
        <f t="shared" ref="C339:C378" si="40">IF($D$14&gt;=B339,B339,"")</f>
        <v/>
      </c>
      <c r="D339" s="565" t="str">
        <f t="shared" si="35"/>
        <v/>
      </c>
      <c r="E339" s="574" t="str">
        <f t="shared" si="36"/>
        <v/>
      </c>
      <c r="F339" s="580" t="str">
        <f t="shared" ref="F339:F378" si="41">IF(C339="","",D339+E339)</f>
        <v/>
      </c>
      <c r="G339" s="591" t="str">
        <f t="shared" si="37"/>
        <v/>
      </c>
      <c r="H339" s="551" t="str">
        <f>IF(C339="","",IF(OR($D$9=3,$D$9=9),IF(AND(D$7&gt;0,ROUNDDOWN($D$14/6,0)&gt;=54),54,""),""))</f>
        <v/>
      </c>
      <c r="I339" s="604" t="str">
        <f t="shared" si="38"/>
        <v/>
      </c>
      <c r="J339" s="574" t="str">
        <f t="shared" si="39"/>
        <v/>
      </c>
      <c r="K339" s="580" t="str">
        <f t="shared" ref="K339:K378" si="42">IF(H339="","",I339+J339)</f>
        <v/>
      </c>
      <c r="L339" s="591" t="str">
        <f>IF(OR(L338=0,L338=""),"",IF(AND(H339="",C339=""),"",IF(COUNT(H337:H342)&gt;0,L338-IF(I339="",0,I339),"")))</f>
        <v/>
      </c>
    </row>
    <row r="340" spans="2:12">
      <c r="B340" s="540">
        <v>322</v>
      </c>
      <c r="C340" s="551" t="str">
        <f t="shared" si="40"/>
        <v/>
      </c>
      <c r="D340" s="565" t="str">
        <f t="shared" ref="D340:D378" si="43">IF(C340="","",IF(C340=$D$14,G339,ROUNDDOWN($D$8/$D$14,0)))</f>
        <v/>
      </c>
      <c r="E340" s="574" t="str">
        <f t="shared" ref="E340:E378" si="44">IF(C340="","",ROUNDDOWN(G339*$D$13,0))</f>
        <v/>
      </c>
      <c r="F340" s="580" t="str">
        <f t="shared" si="41"/>
        <v/>
      </c>
      <c r="G340" s="591" t="str">
        <f t="shared" ref="G340:G378" si="45">IF(C340="","",G339-D340)</f>
        <v/>
      </c>
      <c r="H340" s="551" t="str">
        <f>IF(C340="","",IF(OR($D$9=2,$D$9=8),IF(AND(D$7&gt;0,ROUNDDOWN($D$14/6,0)&gt;=54),54,""),""))</f>
        <v/>
      </c>
      <c r="I340" s="604" t="str">
        <f t="shared" ref="I340:I372" si="46">IF(H340="","",IF(H340&gt;0,IF(H346="",L339,ROUNDDOWN($D$7/COUNT(H$19:H$378),0)),""))</f>
        <v/>
      </c>
      <c r="J340" s="574" t="str">
        <f t="shared" si="39"/>
        <v/>
      </c>
      <c r="K340" s="580" t="str">
        <f t="shared" si="42"/>
        <v/>
      </c>
      <c r="L340" s="591" t="str">
        <f>IF(OR(L339=0,L339=""),"",IF(AND(H340="",C340=""),"",IF(COUNT(H337:H342)&gt;0,L339-IF(I340="",0,I340),"")))</f>
        <v/>
      </c>
    </row>
    <row r="341" spans="2:12">
      <c r="B341" s="540">
        <v>323</v>
      </c>
      <c r="C341" s="551" t="str">
        <f t="shared" si="40"/>
        <v/>
      </c>
      <c r="D341" s="565" t="str">
        <f t="shared" si="43"/>
        <v/>
      </c>
      <c r="E341" s="574" t="str">
        <f t="shared" si="44"/>
        <v/>
      </c>
      <c r="F341" s="580" t="str">
        <f t="shared" si="41"/>
        <v/>
      </c>
      <c r="G341" s="591" t="str">
        <f t="shared" si="45"/>
        <v/>
      </c>
      <c r="H341" s="551" t="str">
        <f>IF(C341="","",IF(OR($D$9=1,$D$9=7),IF(AND(D$7&gt;0,ROUNDDOWN($D$14/6,0)&gt;=54),54,""),""))</f>
        <v/>
      </c>
      <c r="I341" s="604" t="str">
        <f t="shared" si="46"/>
        <v/>
      </c>
      <c r="J341" s="574" t="str">
        <f t="shared" si="39"/>
        <v/>
      </c>
      <c r="K341" s="580" t="str">
        <f t="shared" si="42"/>
        <v/>
      </c>
      <c r="L341" s="591" t="str">
        <f>IF(OR(L340=0,L340=""),"",IF(AND(H341="",C341=""),"",IF(COUNT(H337:H342)&gt;0,L340-IF(I341="",0,I341),"")))</f>
        <v/>
      </c>
    </row>
    <row r="342" spans="2:12">
      <c r="B342" s="540">
        <v>324</v>
      </c>
      <c r="C342" s="551" t="str">
        <f t="shared" si="40"/>
        <v/>
      </c>
      <c r="D342" s="565" t="str">
        <f t="shared" si="43"/>
        <v/>
      </c>
      <c r="E342" s="574" t="str">
        <f t="shared" si="44"/>
        <v/>
      </c>
      <c r="F342" s="580" t="str">
        <f t="shared" si="41"/>
        <v/>
      </c>
      <c r="G342" s="591" t="str">
        <f t="shared" si="45"/>
        <v/>
      </c>
      <c r="H342" s="551" t="str">
        <f>IF(C342="","",IF(OR($D$9=12,$D$9=6),IF(AND(D$7&gt;0,ROUNDDOWN($D$14/6,0)&gt;=54),54,""),""))</f>
        <v/>
      </c>
      <c r="I342" s="605" t="str">
        <f t="shared" si="46"/>
        <v/>
      </c>
      <c r="J342" s="575" t="str">
        <f t="shared" si="39"/>
        <v/>
      </c>
      <c r="K342" s="581" t="str">
        <f t="shared" si="42"/>
        <v/>
      </c>
      <c r="L342" s="592" t="str">
        <f>IF(OR(L341=0,L341=""),"",IF(AND(H342="",C342=""),"",IF(COUNT(H337:H342)&gt;0,L341-IF(I342="",0,I342),"")))</f>
        <v/>
      </c>
    </row>
    <row r="343" spans="2:12">
      <c r="B343" s="540">
        <v>325</v>
      </c>
      <c r="C343" s="553" t="str">
        <f t="shared" si="40"/>
        <v/>
      </c>
      <c r="D343" s="567" t="str">
        <f t="shared" si="43"/>
        <v/>
      </c>
      <c r="E343" s="576" t="str">
        <f t="shared" si="44"/>
        <v/>
      </c>
      <c r="F343" s="582" t="str">
        <f t="shared" si="41"/>
        <v/>
      </c>
      <c r="G343" s="593" t="str">
        <f t="shared" si="45"/>
        <v/>
      </c>
      <c r="H343" s="553" t="str">
        <f>IF(C343="","",IF(OR($D$9=5,$D$9=11),IF(AND(D$7&gt;0,ROUNDDOWN($D$14/6,0)&gt;=55),55,""),""))</f>
        <v/>
      </c>
      <c r="I343" s="603" t="str">
        <f t="shared" si="46"/>
        <v/>
      </c>
      <c r="J343" s="574" t="str">
        <f t="shared" si="39"/>
        <v/>
      </c>
      <c r="K343" s="582" t="str">
        <f t="shared" si="42"/>
        <v/>
      </c>
      <c r="L343" s="593" t="str">
        <f>IF(OR(L342=0,L342=""),"",IF(AND(H343="",C343=""),"",IF(COUNT(H343:H348)&gt;0,L342-IF(I343="",0,I343),"")))</f>
        <v/>
      </c>
    </row>
    <row r="344" spans="2:12">
      <c r="B344" s="540">
        <v>326</v>
      </c>
      <c r="C344" s="551" t="str">
        <f t="shared" si="40"/>
        <v/>
      </c>
      <c r="D344" s="565" t="str">
        <f t="shared" si="43"/>
        <v/>
      </c>
      <c r="E344" s="574" t="str">
        <f t="shared" si="44"/>
        <v/>
      </c>
      <c r="F344" s="580" t="str">
        <f t="shared" si="41"/>
        <v/>
      </c>
      <c r="G344" s="591" t="str">
        <f t="shared" si="45"/>
        <v/>
      </c>
      <c r="H344" s="551" t="str">
        <f>IF(C344="","",IF(OR($D$9=4,$D$9=10),IF(AND(D$7&gt;0,ROUNDDOWN($D$14/6,0)&gt;=55),55,""),""))</f>
        <v/>
      </c>
      <c r="I344" s="604" t="str">
        <f t="shared" si="46"/>
        <v/>
      </c>
      <c r="J344" s="574" t="str">
        <f t="shared" si="39"/>
        <v/>
      </c>
      <c r="K344" s="580" t="str">
        <f t="shared" si="42"/>
        <v/>
      </c>
      <c r="L344" s="591" t="str">
        <f>IF(OR(L343=0,L343=""),"",IF(AND(H344="",C344=""),"",IF(COUNT(H343:H348)&gt;0,L343-IF(I344="",0,I344),"")))</f>
        <v/>
      </c>
    </row>
    <row r="345" spans="2:12">
      <c r="B345" s="540">
        <v>327</v>
      </c>
      <c r="C345" s="551" t="str">
        <f t="shared" si="40"/>
        <v/>
      </c>
      <c r="D345" s="565" t="str">
        <f t="shared" si="43"/>
        <v/>
      </c>
      <c r="E345" s="574" t="str">
        <f t="shared" si="44"/>
        <v/>
      </c>
      <c r="F345" s="580" t="str">
        <f t="shared" si="41"/>
        <v/>
      </c>
      <c r="G345" s="591" t="str">
        <f t="shared" si="45"/>
        <v/>
      </c>
      <c r="H345" s="551" t="str">
        <f>IF(C345="","",IF(OR($D$9=3,$D$9=9),IF(AND(D$7&gt;0,ROUNDDOWN($D$14/6,0)&gt;=55),55,""),""))</f>
        <v/>
      </c>
      <c r="I345" s="604" t="str">
        <f t="shared" si="46"/>
        <v/>
      </c>
      <c r="J345" s="574" t="str">
        <f t="shared" ref="J345:J378" si="47">IF(H345="","",ROUNDDOWN(L344*$D$12,0))</f>
        <v/>
      </c>
      <c r="K345" s="580" t="str">
        <f t="shared" si="42"/>
        <v/>
      </c>
      <c r="L345" s="591" t="str">
        <f>IF(OR(L344=0,L344=""),"",IF(AND(H345="",C345=""),"",IF(COUNT(H343:H348)&gt;0,L344-IF(I345="",0,I345),"")))</f>
        <v/>
      </c>
    </row>
    <row r="346" spans="2:12">
      <c r="B346" s="540">
        <v>328</v>
      </c>
      <c r="C346" s="551" t="str">
        <f t="shared" si="40"/>
        <v/>
      </c>
      <c r="D346" s="565" t="str">
        <f t="shared" si="43"/>
        <v/>
      </c>
      <c r="E346" s="574" t="str">
        <f t="shared" si="44"/>
        <v/>
      </c>
      <c r="F346" s="580" t="str">
        <f t="shared" si="41"/>
        <v/>
      </c>
      <c r="G346" s="591" t="str">
        <f t="shared" si="45"/>
        <v/>
      </c>
      <c r="H346" s="551" t="str">
        <f>IF(C346="","",IF(OR($D$9=2,$D$9=8),IF(AND(D$7&gt;0,ROUNDDOWN($D$14/6,0)&gt;=55),55,""),""))</f>
        <v/>
      </c>
      <c r="I346" s="604" t="str">
        <f t="shared" si="46"/>
        <v/>
      </c>
      <c r="J346" s="574" t="str">
        <f t="shared" si="47"/>
        <v/>
      </c>
      <c r="K346" s="580" t="str">
        <f t="shared" si="42"/>
        <v/>
      </c>
      <c r="L346" s="591" t="str">
        <f>IF(OR(L345=0,L345=""),"",IF(AND(H346="",C346=""),"",IF(COUNT(H343:H348)&gt;0,L345-IF(I346="",0,I346),"")))</f>
        <v/>
      </c>
    </row>
    <row r="347" spans="2:12">
      <c r="B347" s="540">
        <v>329</v>
      </c>
      <c r="C347" s="551" t="str">
        <f t="shared" si="40"/>
        <v/>
      </c>
      <c r="D347" s="565" t="str">
        <f t="shared" si="43"/>
        <v/>
      </c>
      <c r="E347" s="574" t="str">
        <f t="shared" si="44"/>
        <v/>
      </c>
      <c r="F347" s="580" t="str">
        <f t="shared" si="41"/>
        <v/>
      </c>
      <c r="G347" s="591" t="str">
        <f t="shared" si="45"/>
        <v/>
      </c>
      <c r="H347" s="551" t="str">
        <f>IF(C347="","",IF(OR($D$9=1,$D$9=7),IF(AND(D$7&gt;0,ROUNDDOWN($D$14/6,0)&gt;=55),55,""),""))</f>
        <v/>
      </c>
      <c r="I347" s="604" t="str">
        <f t="shared" si="46"/>
        <v/>
      </c>
      <c r="J347" s="574" t="str">
        <f t="shared" si="47"/>
        <v/>
      </c>
      <c r="K347" s="580" t="str">
        <f t="shared" si="42"/>
        <v/>
      </c>
      <c r="L347" s="591" t="str">
        <f>IF(OR(L346=0,L346=""),"",IF(AND(H347="",C347=""),"",IF(COUNT(H343:H348)&gt;0,L346-IF(I347="",0,I347),"")))</f>
        <v/>
      </c>
    </row>
    <row r="348" spans="2:12">
      <c r="B348" s="540">
        <v>330</v>
      </c>
      <c r="C348" s="552" t="str">
        <f t="shared" si="40"/>
        <v/>
      </c>
      <c r="D348" s="566" t="str">
        <f t="shared" si="43"/>
        <v/>
      </c>
      <c r="E348" s="575" t="str">
        <f t="shared" si="44"/>
        <v/>
      </c>
      <c r="F348" s="581" t="str">
        <f t="shared" si="41"/>
        <v/>
      </c>
      <c r="G348" s="592" t="str">
        <f t="shared" si="45"/>
        <v/>
      </c>
      <c r="H348" s="551" t="str">
        <f>IF(C348="","",IF(OR($D$9=12,$D$9=6),IF(AND(D$7&gt;0,ROUNDDOWN($D$14/6,0)&gt;=55),55,""),""))</f>
        <v/>
      </c>
      <c r="I348" s="605" t="str">
        <f t="shared" si="46"/>
        <v/>
      </c>
      <c r="J348" s="575" t="str">
        <f t="shared" si="47"/>
        <v/>
      </c>
      <c r="K348" s="581" t="str">
        <f t="shared" si="42"/>
        <v/>
      </c>
      <c r="L348" s="592" t="str">
        <f>IF(OR(L347=0,L347=""),"",IF(AND(H348="",C348=""),"",IF(COUNT(H343:H348)&gt;0,L347-IF(I348="",0,I348),"")))</f>
        <v/>
      </c>
    </row>
    <row r="349" spans="2:12">
      <c r="B349" s="540">
        <v>331</v>
      </c>
      <c r="C349" s="551" t="str">
        <f t="shared" si="40"/>
        <v/>
      </c>
      <c r="D349" s="565" t="str">
        <f t="shared" si="43"/>
        <v/>
      </c>
      <c r="E349" s="574" t="str">
        <f t="shared" si="44"/>
        <v/>
      </c>
      <c r="F349" s="580" t="str">
        <f t="shared" si="41"/>
        <v/>
      </c>
      <c r="G349" s="591" t="str">
        <f t="shared" si="45"/>
        <v/>
      </c>
      <c r="H349" s="553" t="str">
        <f>IF(C349="","",IF(OR($D$9=5,$D$9=11),IF(AND(D$7&gt;0,ROUNDDOWN($D$14/6,0)&gt;=56),56,""),""))</f>
        <v/>
      </c>
      <c r="I349" s="603" t="str">
        <f t="shared" si="46"/>
        <v/>
      </c>
      <c r="J349" s="574" t="str">
        <f t="shared" si="47"/>
        <v/>
      </c>
      <c r="K349" s="582" t="str">
        <f t="shared" si="42"/>
        <v/>
      </c>
      <c r="L349" s="593" t="str">
        <f>IF(OR(L348=0,L348=""),"",IF(AND(H349="",C349=""),"",IF(COUNT(H349:H354)&gt;0,L348-IF(I349="",0,I349),"")))</f>
        <v/>
      </c>
    </row>
    <row r="350" spans="2:12">
      <c r="B350" s="540">
        <v>332</v>
      </c>
      <c r="C350" s="551" t="str">
        <f t="shared" si="40"/>
        <v/>
      </c>
      <c r="D350" s="565" t="str">
        <f t="shared" si="43"/>
        <v/>
      </c>
      <c r="E350" s="574" t="str">
        <f t="shared" si="44"/>
        <v/>
      </c>
      <c r="F350" s="580" t="str">
        <f t="shared" si="41"/>
        <v/>
      </c>
      <c r="G350" s="591" t="str">
        <f t="shared" si="45"/>
        <v/>
      </c>
      <c r="H350" s="551" t="str">
        <f>IF(C350="","",IF(OR($D$9=4,$D$9=10),IF(AND(D$7&gt;0,ROUNDDOWN($D$14/6,0)&gt;=56),56,""),""))</f>
        <v/>
      </c>
      <c r="I350" s="604" t="str">
        <f t="shared" si="46"/>
        <v/>
      </c>
      <c r="J350" s="574" t="str">
        <f t="shared" si="47"/>
        <v/>
      </c>
      <c r="K350" s="580" t="str">
        <f t="shared" si="42"/>
        <v/>
      </c>
      <c r="L350" s="591" t="str">
        <f>IF(OR(L349=0,L349=""),"",IF(AND(H350="",C350=""),"",IF(COUNT(H349:H354)&gt;0,L349-IF(I350="",0,I350),"")))</f>
        <v/>
      </c>
    </row>
    <row r="351" spans="2:12">
      <c r="B351" s="540">
        <v>333</v>
      </c>
      <c r="C351" s="551" t="str">
        <f t="shared" si="40"/>
        <v/>
      </c>
      <c r="D351" s="565" t="str">
        <f t="shared" si="43"/>
        <v/>
      </c>
      <c r="E351" s="574" t="str">
        <f t="shared" si="44"/>
        <v/>
      </c>
      <c r="F351" s="580" t="str">
        <f t="shared" si="41"/>
        <v/>
      </c>
      <c r="G351" s="591" t="str">
        <f t="shared" si="45"/>
        <v/>
      </c>
      <c r="H351" s="551" t="str">
        <f>IF(C351="","",IF(OR($D$9=3,$D$9=9),IF(AND(D$7&gt;0,ROUNDDOWN($D$14/6,0)&gt;=56),56,""),""))</f>
        <v/>
      </c>
      <c r="I351" s="604" t="str">
        <f t="shared" si="46"/>
        <v/>
      </c>
      <c r="J351" s="574" t="str">
        <f t="shared" si="47"/>
        <v/>
      </c>
      <c r="K351" s="580" t="str">
        <f t="shared" si="42"/>
        <v/>
      </c>
      <c r="L351" s="591" t="str">
        <f>IF(OR(L350=0,L350=""),"",IF(AND(H351="",C351=""),"",IF(COUNT(H349:H354)&gt;0,L350-IF(I351="",0,I351),"")))</f>
        <v/>
      </c>
    </row>
    <row r="352" spans="2:12">
      <c r="B352" s="540">
        <v>334</v>
      </c>
      <c r="C352" s="551" t="str">
        <f t="shared" si="40"/>
        <v/>
      </c>
      <c r="D352" s="565" t="str">
        <f t="shared" si="43"/>
        <v/>
      </c>
      <c r="E352" s="574" t="str">
        <f t="shared" si="44"/>
        <v/>
      </c>
      <c r="F352" s="580" t="str">
        <f t="shared" si="41"/>
        <v/>
      </c>
      <c r="G352" s="591" t="str">
        <f t="shared" si="45"/>
        <v/>
      </c>
      <c r="H352" s="551" t="str">
        <f>IF(C352="","",IF(OR($D$9=2,$D$9=8),IF(AND(D$7&gt;0,ROUNDDOWN($D$14/6,0)&gt;=56),56,""),""))</f>
        <v/>
      </c>
      <c r="I352" s="604" t="str">
        <f t="shared" si="46"/>
        <v/>
      </c>
      <c r="J352" s="574" t="str">
        <f t="shared" si="47"/>
        <v/>
      </c>
      <c r="K352" s="580" t="str">
        <f t="shared" si="42"/>
        <v/>
      </c>
      <c r="L352" s="591" t="str">
        <f>IF(OR(L351=0,L351=""),"",IF(AND(H352="",C352=""),"",IF(COUNT(H349:H354)&gt;0,L351-IF(I352="",0,I352),"")))</f>
        <v/>
      </c>
    </row>
    <row r="353" spans="2:12">
      <c r="B353" s="540">
        <v>335</v>
      </c>
      <c r="C353" s="551" t="str">
        <f t="shared" si="40"/>
        <v/>
      </c>
      <c r="D353" s="565" t="str">
        <f t="shared" si="43"/>
        <v/>
      </c>
      <c r="E353" s="574" t="str">
        <f t="shared" si="44"/>
        <v/>
      </c>
      <c r="F353" s="580" t="str">
        <f t="shared" si="41"/>
        <v/>
      </c>
      <c r="G353" s="591" t="str">
        <f t="shared" si="45"/>
        <v/>
      </c>
      <c r="H353" s="551" t="str">
        <f>IF(C353="","",IF(OR($D$9=1,$D$9=7),IF(AND(D$7&gt;0,ROUNDDOWN($D$14/6,0)&gt;=56),56,""),""))</f>
        <v/>
      </c>
      <c r="I353" s="604" t="str">
        <f t="shared" si="46"/>
        <v/>
      </c>
      <c r="J353" s="574" t="str">
        <f t="shared" si="47"/>
        <v/>
      </c>
      <c r="K353" s="580" t="str">
        <f t="shared" si="42"/>
        <v/>
      </c>
      <c r="L353" s="591" t="str">
        <f>IF(OR(L352=0,L352=""),"",IF(AND(H353="",C353=""),"",IF(COUNT(H349:H354)&gt;0,L352-IF(I353="",0,I353),"")))</f>
        <v/>
      </c>
    </row>
    <row r="354" spans="2:12">
      <c r="B354" s="540">
        <v>336</v>
      </c>
      <c r="C354" s="551" t="str">
        <f t="shared" si="40"/>
        <v/>
      </c>
      <c r="D354" s="565" t="str">
        <f t="shared" si="43"/>
        <v/>
      </c>
      <c r="E354" s="574" t="str">
        <f t="shared" si="44"/>
        <v/>
      </c>
      <c r="F354" s="580" t="str">
        <f t="shared" si="41"/>
        <v/>
      </c>
      <c r="G354" s="591" t="str">
        <f t="shared" si="45"/>
        <v/>
      </c>
      <c r="H354" s="552" t="str">
        <f>IF(C354="","",IF(OR($D$9=12,$D$9=6),IF(AND(D$7&gt;0,ROUNDDOWN($D$14/6,0)&gt;=56),56,""),""))</f>
        <v/>
      </c>
      <c r="I354" s="605" t="str">
        <f t="shared" si="46"/>
        <v/>
      </c>
      <c r="J354" s="575" t="str">
        <f t="shared" si="47"/>
        <v/>
      </c>
      <c r="K354" s="581" t="str">
        <f t="shared" si="42"/>
        <v/>
      </c>
      <c r="L354" s="592" t="str">
        <f>IF(OR(L353=0,L353=""),"",IF(AND(H354="",C354=""),"",IF(COUNT(H349:H354)&gt;0,L353-IF(I354="",0,I354),"")))</f>
        <v/>
      </c>
    </row>
    <row r="355" spans="2:12">
      <c r="B355" s="540">
        <v>337</v>
      </c>
      <c r="C355" s="553" t="str">
        <f t="shared" si="40"/>
        <v/>
      </c>
      <c r="D355" s="567" t="str">
        <f t="shared" si="43"/>
        <v/>
      </c>
      <c r="E355" s="576" t="str">
        <f t="shared" si="44"/>
        <v/>
      </c>
      <c r="F355" s="582" t="str">
        <f t="shared" si="41"/>
        <v/>
      </c>
      <c r="G355" s="593" t="str">
        <f t="shared" si="45"/>
        <v/>
      </c>
      <c r="H355" s="551" t="str">
        <f>IF(C355="","",IF(OR($D$9=5,$D$9=11),IF(AND(D$7&gt;0,ROUNDDOWN($D$14/6,0)&gt;=57),57,""),""))</f>
        <v/>
      </c>
      <c r="I355" s="603" t="str">
        <f t="shared" si="46"/>
        <v/>
      </c>
      <c r="J355" s="574" t="str">
        <f t="shared" si="47"/>
        <v/>
      </c>
      <c r="K355" s="582" t="str">
        <f t="shared" si="42"/>
        <v/>
      </c>
      <c r="L355" s="593" t="str">
        <f>IF(OR(L354=0,L354=""),"",IF(AND(H355="",C355=""),"",IF(COUNT(H355:H360)&gt;0,L354-IF(I355="",0,I355),"")))</f>
        <v/>
      </c>
    </row>
    <row r="356" spans="2:12">
      <c r="B356" s="540">
        <v>338</v>
      </c>
      <c r="C356" s="551" t="str">
        <f t="shared" si="40"/>
        <v/>
      </c>
      <c r="D356" s="565" t="str">
        <f t="shared" si="43"/>
        <v/>
      </c>
      <c r="E356" s="574" t="str">
        <f t="shared" si="44"/>
        <v/>
      </c>
      <c r="F356" s="580" t="str">
        <f t="shared" si="41"/>
        <v/>
      </c>
      <c r="G356" s="591" t="str">
        <f t="shared" si="45"/>
        <v/>
      </c>
      <c r="H356" s="551" t="str">
        <f>IF(C356="","",IF(OR($D$9=4,$D$9=10),IF(AND(D$7&gt;0,ROUNDDOWN($D$14/6,0)&gt;=57),57,""),""))</f>
        <v/>
      </c>
      <c r="I356" s="604" t="str">
        <f t="shared" si="46"/>
        <v/>
      </c>
      <c r="J356" s="574" t="str">
        <f t="shared" si="47"/>
        <v/>
      </c>
      <c r="K356" s="580" t="str">
        <f t="shared" si="42"/>
        <v/>
      </c>
      <c r="L356" s="591" t="str">
        <f>IF(OR(L355=0,L355=""),"",IF(AND(H356="",C356=""),"",IF(COUNT(H355:H360)&gt;0,L355-IF(I356="",0,I356),"")))</f>
        <v/>
      </c>
    </row>
    <row r="357" spans="2:12">
      <c r="B357" s="540">
        <v>339</v>
      </c>
      <c r="C357" s="551" t="str">
        <f t="shared" si="40"/>
        <v/>
      </c>
      <c r="D357" s="565" t="str">
        <f t="shared" si="43"/>
        <v/>
      </c>
      <c r="E357" s="574" t="str">
        <f t="shared" si="44"/>
        <v/>
      </c>
      <c r="F357" s="580" t="str">
        <f t="shared" si="41"/>
        <v/>
      </c>
      <c r="G357" s="591" t="str">
        <f t="shared" si="45"/>
        <v/>
      </c>
      <c r="H357" s="551" t="str">
        <f>IF(C357="","",IF(OR($D$9=3,$D$9=9),IF(AND(D$7&gt;0,ROUNDDOWN($D$14/6,0)&gt;=57),57,""),""))</f>
        <v/>
      </c>
      <c r="I357" s="604" t="str">
        <f t="shared" si="46"/>
        <v/>
      </c>
      <c r="J357" s="574" t="str">
        <f t="shared" si="47"/>
        <v/>
      </c>
      <c r="K357" s="580" t="str">
        <f t="shared" si="42"/>
        <v/>
      </c>
      <c r="L357" s="591" t="str">
        <f>IF(OR(L356=0,L356=""),"",IF(AND(H357="",C357=""),"",IF(COUNT(H355:H360)&gt;0,L356-IF(I357="",0,I357),"")))</f>
        <v/>
      </c>
    </row>
    <row r="358" spans="2:12">
      <c r="B358" s="540">
        <v>340</v>
      </c>
      <c r="C358" s="551" t="str">
        <f t="shared" si="40"/>
        <v/>
      </c>
      <c r="D358" s="565" t="str">
        <f t="shared" si="43"/>
        <v/>
      </c>
      <c r="E358" s="574" t="str">
        <f t="shared" si="44"/>
        <v/>
      </c>
      <c r="F358" s="580" t="str">
        <f t="shared" si="41"/>
        <v/>
      </c>
      <c r="G358" s="591" t="str">
        <f t="shared" si="45"/>
        <v/>
      </c>
      <c r="H358" s="551" t="str">
        <f>IF(C358="","",IF(OR($D$9=2,$D$9=8),IF(AND(D$7&gt;0,ROUNDDOWN($D$14/6,0)&gt;=57),57,""),""))</f>
        <v/>
      </c>
      <c r="I358" s="604" t="str">
        <f t="shared" si="46"/>
        <v/>
      </c>
      <c r="J358" s="574" t="str">
        <f t="shared" si="47"/>
        <v/>
      </c>
      <c r="K358" s="580" t="str">
        <f t="shared" si="42"/>
        <v/>
      </c>
      <c r="L358" s="591" t="str">
        <f>IF(OR(L357=0,L357=""),"",IF(AND(H358="",C358=""),"",IF(COUNT(H355:H360)&gt;0,L357-IF(I358="",0,I358),"")))</f>
        <v/>
      </c>
    </row>
    <row r="359" spans="2:12">
      <c r="B359" s="540">
        <v>341</v>
      </c>
      <c r="C359" s="551" t="str">
        <f t="shared" si="40"/>
        <v/>
      </c>
      <c r="D359" s="565" t="str">
        <f t="shared" si="43"/>
        <v/>
      </c>
      <c r="E359" s="574" t="str">
        <f t="shared" si="44"/>
        <v/>
      </c>
      <c r="F359" s="580" t="str">
        <f t="shared" si="41"/>
        <v/>
      </c>
      <c r="G359" s="591" t="str">
        <f t="shared" si="45"/>
        <v/>
      </c>
      <c r="H359" s="551" t="str">
        <f>IF(C359="","",IF(OR($D$9=1,$D$9=7),IF(AND(D$7&gt;0,ROUNDDOWN($D$14/6,0)&gt;=57),57,""),""))</f>
        <v/>
      </c>
      <c r="I359" s="604" t="str">
        <f t="shared" si="46"/>
        <v/>
      </c>
      <c r="J359" s="574" t="str">
        <f t="shared" si="47"/>
        <v/>
      </c>
      <c r="K359" s="580" t="str">
        <f t="shared" si="42"/>
        <v/>
      </c>
      <c r="L359" s="591" t="str">
        <f>IF(OR(L358=0,L358=""),"",IF(AND(H359="",C359=""),"",IF(COUNT(H355:H360)&gt;0,L358-IF(I359="",0,I359),"")))</f>
        <v/>
      </c>
    </row>
    <row r="360" spans="2:12">
      <c r="B360" s="540">
        <v>342</v>
      </c>
      <c r="C360" s="552" t="str">
        <f t="shared" si="40"/>
        <v/>
      </c>
      <c r="D360" s="566" t="str">
        <f t="shared" si="43"/>
        <v/>
      </c>
      <c r="E360" s="575" t="str">
        <f t="shared" si="44"/>
        <v/>
      </c>
      <c r="F360" s="581" t="str">
        <f t="shared" si="41"/>
        <v/>
      </c>
      <c r="G360" s="592" t="str">
        <f t="shared" si="45"/>
        <v/>
      </c>
      <c r="H360" s="551" t="str">
        <f>IF(C360="","",IF(OR($D$9=12,$D$9=6),IF(AND(D$7&gt;0,ROUNDDOWN($D$14/6,0)&gt;=57),57,""),""))</f>
        <v/>
      </c>
      <c r="I360" s="605" t="str">
        <f t="shared" si="46"/>
        <v/>
      </c>
      <c r="J360" s="575" t="str">
        <f t="shared" si="47"/>
        <v/>
      </c>
      <c r="K360" s="581" t="str">
        <f t="shared" si="42"/>
        <v/>
      </c>
      <c r="L360" s="592" t="str">
        <f>IF(OR(L359=0,L359=""),"",IF(AND(H360="",C360=""),"",IF(COUNT(H355:H360)&gt;0,L359-IF(I360="",0,I360),"")))</f>
        <v/>
      </c>
    </row>
    <row r="361" spans="2:12">
      <c r="B361" s="540">
        <v>343</v>
      </c>
      <c r="C361" s="551" t="str">
        <f t="shared" si="40"/>
        <v/>
      </c>
      <c r="D361" s="565" t="str">
        <f t="shared" si="43"/>
        <v/>
      </c>
      <c r="E361" s="574" t="str">
        <f t="shared" si="44"/>
        <v/>
      </c>
      <c r="F361" s="580" t="str">
        <f t="shared" si="41"/>
        <v/>
      </c>
      <c r="G361" s="591" t="str">
        <f t="shared" si="45"/>
        <v/>
      </c>
      <c r="H361" s="553" t="str">
        <f>IF(C361="","",IF(OR($D$9=5,$D$9=11),IF(AND(D$7&gt;0,ROUNDDOWN($D$14/6,0)&gt;=58),58,""),""))</f>
        <v/>
      </c>
      <c r="I361" s="603" t="str">
        <f t="shared" si="46"/>
        <v/>
      </c>
      <c r="J361" s="574" t="str">
        <f t="shared" si="47"/>
        <v/>
      </c>
      <c r="K361" s="582" t="str">
        <f t="shared" si="42"/>
        <v/>
      </c>
      <c r="L361" s="593" t="str">
        <f>IF(OR(L360=0,L360=""),"",IF(AND(H361="",C361=""),"",IF(COUNT(H361:H366)&gt;0,L360-IF(I361="",0,I361),"")))</f>
        <v/>
      </c>
    </row>
    <row r="362" spans="2:12">
      <c r="B362" s="540">
        <v>344</v>
      </c>
      <c r="C362" s="551" t="str">
        <f t="shared" si="40"/>
        <v/>
      </c>
      <c r="D362" s="565" t="str">
        <f t="shared" si="43"/>
        <v/>
      </c>
      <c r="E362" s="574" t="str">
        <f t="shared" si="44"/>
        <v/>
      </c>
      <c r="F362" s="580" t="str">
        <f t="shared" si="41"/>
        <v/>
      </c>
      <c r="G362" s="591" t="str">
        <f t="shared" si="45"/>
        <v/>
      </c>
      <c r="H362" s="551" t="str">
        <f>IF(C362="","",IF(OR($D$9=4,$D$9=10),IF(AND(D$7&gt;0,ROUNDDOWN($D$14/6,0)&gt;=58),58,""),""))</f>
        <v/>
      </c>
      <c r="I362" s="604" t="str">
        <f t="shared" si="46"/>
        <v/>
      </c>
      <c r="J362" s="574" t="str">
        <f t="shared" si="47"/>
        <v/>
      </c>
      <c r="K362" s="580" t="str">
        <f t="shared" si="42"/>
        <v/>
      </c>
      <c r="L362" s="591" t="str">
        <f>IF(OR(L361=0,L361=""),"",IF(AND(H362="",C362=""),"",IF(COUNT(H361:H366)&gt;0,L361-IF(I362="",0,I362),"")))</f>
        <v/>
      </c>
    </row>
    <row r="363" spans="2:12">
      <c r="B363" s="540">
        <v>345</v>
      </c>
      <c r="C363" s="551" t="str">
        <f t="shared" si="40"/>
        <v/>
      </c>
      <c r="D363" s="565" t="str">
        <f t="shared" si="43"/>
        <v/>
      </c>
      <c r="E363" s="574" t="str">
        <f t="shared" si="44"/>
        <v/>
      </c>
      <c r="F363" s="580" t="str">
        <f t="shared" si="41"/>
        <v/>
      </c>
      <c r="G363" s="591" t="str">
        <f t="shared" si="45"/>
        <v/>
      </c>
      <c r="H363" s="551" t="str">
        <f>IF(C363="","",IF(OR($D$9=3,$D$9=9),IF(AND(D$7&gt;0,ROUNDDOWN($D$14/6,0)&gt;=58),58,""),""))</f>
        <v/>
      </c>
      <c r="I363" s="604" t="str">
        <f t="shared" si="46"/>
        <v/>
      </c>
      <c r="J363" s="574" t="str">
        <f t="shared" si="47"/>
        <v/>
      </c>
      <c r="K363" s="580" t="str">
        <f t="shared" si="42"/>
        <v/>
      </c>
      <c r="L363" s="591" t="str">
        <f>IF(OR(L362=0,L362=""),"",IF(AND(H363="",C363=""),"",IF(COUNT(H361:H366)&gt;0,L362-IF(I363="",0,I363),"")))</f>
        <v/>
      </c>
    </row>
    <row r="364" spans="2:12">
      <c r="B364" s="540">
        <v>346</v>
      </c>
      <c r="C364" s="551" t="str">
        <f t="shared" si="40"/>
        <v/>
      </c>
      <c r="D364" s="565" t="str">
        <f t="shared" si="43"/>
        <v/>
      </c>
      <c r="E364" s="574" t="str">
        <f t="shared" si="44"/>
        <v/>
      </c>
      <c r="F364" s="580" t="str">
        <f t="shared" si="41"/>
        <v/>
      </c>
      <c r="G364" s="591" t="str">
        <f t="shared" si="45"/>
        <v/>
      </c>
      <c r="H364" s="551" t="str">
        <f>IF(C364="","",IF(OR($D$9=2,$D$9=8),IF(AND(D$7&gt;0,ROUNDDOWN($D$14/6,0)&gt;=58),58,""),""))</f>
        <v/>
      </c>
      <c r="I364" s="604" t="str">
        <f t="shared" si="46"/>
        <v/>
      </c>
      <c r="J364" s="574" t="str">
        <f t="shared" si="47"/>
        <v/>
      </c>
      <c r="K364" s="580" t="str">
        <f t="shared" si="42"/>
        <v/>
      </c>
      <c r="L364" s="591" t="str">
        <f>IF(OR(L363=0,L363=""),"",IF(AND(H364="",C364=""),"",IF(COUNT(H361:H366)&gt;0,L363-IF(I364="",0,I364),"")))</f>
        <v/>
      </c>
    </row>
    <row r="365" spans="2:12">
      <c r="B365" s="540">
        <v>347</v>
      </c>
      <c r="C365" s="551" t="str">
        <f t="shared" si="40"/>
        <v/>
      </c>
      <c r="D365" s="565" t="str">
        <f t="shared" si="43"/>
        <v/>
      </c>
      <c r="E365" s="574" t="str">
        <f t="shared" si="44"/>
        <v/>
      </c>
      <c r="F365" s="580" t="str">
        <f t="shared" si="41"/>
        <v/>
      </c>
      <c r="G365" s="591" t="str">
        <f t="shared" si="45"/>
        <v/>
      </c>
      <c r="H365" s="551" t="str">
        <f>IF(C365="","",IF(OR($D$9=1,$D$9=7),IF(AND(D$7&gt;0,ROUNDDOWN($D$14/6,0)&gt;=58),58,""),""))</f>
        <v/>
      </c>
      <c r="I365" s="604" t="str">
        <f t="shared" si="46"/>
        <v/>
      </c>
      <c r="J365" s="574" t="str">
        <f t="shared" si="47"/>
        <v/>
      </c>
      <c r="K365" s="580" t="str">
        <f t="shared" si="42"/>
        <v/>
      </c>
      <c r="L365" s="591" t="str">
        <f>IF(OR(L364=0,L364=""),"",IF(AND(H365="",C365=""),"",IF(COUNT(H361:H366)&gt;0,L364-IF(I365="",0,I365),"")))</f>
        <v/>
      </c>
    </row>
    <row r="366" spans="2:12">
      <c r="B366" s="540">
        <v>348</v>
      </c>
      <c r="C366" s="551" t="str">
        <f t="shared" si="40"/>
        <v/>
      </c>
      <c r="D366" s="565" t="str">
        <f t="shared" si="43"/>
        <v/>
      </c>
      <c r="E366" s="574" t="str">
        <f t="shared" si="44"/>
        <v/>
      </c>
      <c r="F366" s="580" t="str">
        <f t="shared" si="41"/>
        <v/>
      </c>
      <c r="G366" s="591" t="str">
        <f t="shared" si="45"/>
        <v/>
      </c>
      <c r="H366" s="551" t="str">
        <f>IF(C366="","",IF(OR($D$9=12,$D$9=6),IF(AND(D$7&gt;0,ROUNDDOWN($D$14/6,0)&gt;=58),58,""),""))</f>
        <v/>
      </c>
      <c r="I366" s="605" t="str">
        <f t="shared" si="46"/>
        <v/>
      </c>
      <c r="J366" s="575" t="str">
        <f t="shared" si="47"/>
        <v/>
      </c>
      <c r="K366" s="581" t="str">
        <f t="shared" si="42"/>
        <v/>
      </c>
      <c r="L366" s="592" t="str">
        <f>IF(OR(L365=0,L365=""),"",IF(AND(H366="",C366=""),"",IF(COUNT(H361:H366)&gt;0,L365-IF(I366="",0,I366),"")))</f>
        <v/>
      </c>
    </row>
    <row r="367" spans="2:12">
      <c r="B367" s="540">
        <v>349</v>
      </c>
      <c r="C367" s="553" t="str">
        <f t="shared" si="40"/>
        <v/>
      </c>
      <c r="D367" s="567" t="str">
        <f t="shared" si="43"/>
        <v/>
      </c>
      <c r="E367" s="576" t="str">
        <f t="shared" si="44"/>
        <v/>
      </c>
      <c r="F367" s="582" t="str">
        <f t="shared" si="41"/>
        <v/>
      </c>
      <c r="G367" s="593" t="str">
        <f t="shared" si="45"/>
        <v/>
      </c>
      <c r="H367" s="553" t="str">
        <f>IF(C367="","",IF(OR($D$9=5,$D$9=11),IF(AND(D$7&gt;0,ROUNDDOWN($D$14/6,0)&gt;=59),59,""),""))</f>
        <v/>
      </c>
      <c r="I367" s="603" t="str">
        <f t="shared" si="46"/>
        <v/>
      </c>
      <c r="J367" s="574" t="str">
        <f t="shared" si="47"/>
        <v/>
      </c>
      <c r="K367" s="582" t="str">
        <f t="shared" si="42"/>
        <v/>
      </c>
      <c r="L367" s="593" t="str">
        <f>IF(OR(L366=0,L366=""),"",IF(AND(H367="",C367=""),"",IF(COUNT(H367:H372)&gt;0,L366-IF(I367="",0,I367),"")))</f>
        <v/>
      </c>
    </row>
    <row r="368" spans="2:12">
      <c r="B368" s="540">
        <v>350</v>
      </c>
      <c r="C368" s="551" t="str">
        <f t="shared" si="40"/>
        <v/>
      </c>
      <c r="D368" s="565" t="str">
        <f t="shared" si="43"/>
        <v/>
      </c>
      <c r="E368" s="574" t="str">
        <f t="shared" si="44"/>
        <v/>
      </c>
      <c r="F368" s="580" t="str">
        <f t="shared" si="41"/>
        <v/>
      </c>
      <c r="G368" s="591" t="str">
        <f t="shared" si="45"/>
        <v/>
      </c>
      <c r="H368" s="551" t="str">
        <f>IF(C368="","",IF(OR($D$9=4,$D$9=10),IF(AND(D$7&gt;0,ROUNDDOWN($D$14/6,0)&gt;=59),59,""),""))</f>
        <v/>
      </c>
      <c r="I368" s="604" t="str">
        <f t="shared" si="46"/>
        <v/>
      </c>
      <c r="J368" s="574" t="str">
        <f t="shared" si="47"/>
        <v/>
      </c>
      <c r="K368" s="580" t="str">
        <f t="shared" si="42"/>
        <v/>
      </c>
      <c r="L368" s="591" t="str">
        <f>IF(OR(L367=0,L367=""),"",IF(AND(H368="",C368=""),"",IF(COUNT(H367:H372)&gt;0,L367-IF(I368="",0,I368),"")))</f>
        <v/>
      </c>
    </row>
    <row r="369" spans="2:14">
      <c r="B369" s="540">
        <v>351</v>
      </c>
      <c r="C369" s="551" t="str">
        <f t="shared" si="40"/>
        <v/>
      </c>
      <c r="D369" s="565" t="str">
        <f t="shared" si="43"/>
        <v/>
      </c>
      <c r="E369" s="574" t="str">
        <f t="shared" si="44"/>
        <v/>
      </c>
      <c r="F369" s="580" t="str">
        <f t="shared" si="41"/>
        <v/>
      </c>
      <c r="G369" s="591" t="str">
        <f t="shared" si="45"/>
        <v/>
      </c>
      <c r="H369" s="551" t="str">
        <f>IF(C369="","",IF(OR($D$9=3,$D$9=9),IF(AND(D$7&gt;0,ROUNDDOWN($D$14/6,0)&gt;=59),59,""),""))</f>
        <v/>
      </c>
      <c r="I369" s="604" t="str">
        <f t="shared" si="46"/>
        <v/>
      </c>
      <c r="J369" s="574" t="str">
        <f t="shared" si="47"/>
        <v/>
      </c>
      <c r="K369" s="580" t="str">
        <f t="shared" si="42"/>
        <v/>
      </c>
      <c r="L369" s="591" t="str">
        <f>IF(OR(L368=0,L368=""),"",IF(AND(H369="",C369=""),"",IF(COUNT(H367:H372)&gt;0,L368-IF(I369="",0,I369),"")))</f>
        <v/>
      </c>
    </row>
    <row r="370" spans="2:14">
      <c r="B370" s="540">
        <v>352</v>
      </c>
      <c r="C370" s="551" t="str">
        <f t="shared" si="40"/>
        <v/>
      </c>
      <c r="D370" s="565" t="str">
        <f t="shared" si="43"/>
        <v/>
      </c>
      <c r="E370" s="574" t="str">
        <f t="shared" si="44"/>
        <v/>
      </c>
      <c r="F370" s="580" t="str">
        <f t="shared" si="41"/>
        <v/>
      </c>
      <c r="G370" s="591" t="str">
        <f t="shared" si="45"/>
        <v/>
      </c>
      <c r="H370" s="551" t="str">
        <f>IF(C370="","",IF(OR($D$9=2,$D$9=8),IF(AND(D$7&gt;0,ROUNDDOWN($D$14/6,0)&gt;=59),59,""),""))</f>
        <v/>
      </c>
      <c r="I370" s="604" t="str">
        <f t="shared" si="46"/>
        <v/>
      </c>
      <c r="J370" s="574" t="str">
        <f t="shared" si="47"/>
        <v/>
      </c>
      <c r="K370" s="580" t="str">
        <f t="shared" si="42"/>
        <v/>
      </c>
      <c r="L370" s="591" t="str">
        <f>IF(OR(L369=0,L369=""),"",IF(AND(H370="",C370=""),"",IF(COUNT(H367:H372)&gt;0,L369-IF(I370="",0,I370),"")))</f>
        <v/>
      </c>
    </row>
    <row r="371" spans="2:14">
      <c r="B371" s="540">
        <v>353</v>
      </c>
      <c r="C371" s="551" t="str">
        <f t="shared" si="40"/>
        <v/>
      </c>
      <c r="D371" s="565" t="str">
        <f t="shared" si="43"/>
        <v/>
      </c>
      <c r="E371" s="574" t="str">
        <f t="shared" si="44"/>
        <v/>
      </c>
      <c r="F371" s="580" t="str">
        <f t="shared" si="41"/>
        <v/>
      </c>
      <c r="G371" s="591" t="str">
        <f t="shared" si="45"/>
        <v/>
      </c>
      <c r="H371" s="551" t="str">
        <f>IF(C371="","",IF(OR($D$9=1,$D$9=7),IF(AND(D$7&gt;0,ROUNDDOWN($D$14/6,0)&gt;=59),59,""),""))</f>
        <v/>
      </c>
      <c r="I371" s="604" t="str">
        <f t="shared" si="46"/>
        <v/>
      </c>
      <c r="J371" s="574" t="str">
        <f t="shared" si="47"/>
        <v/>
      </c>
      <c r="K371" s="580" t="str">
        <f t="shared" si="42"/>
        <v/>
      </c>
      <c r="L371" s="591" t="str">
        <f>IF(OR(L370=0,L370=""),"",IF(AND(H371="",C371=""),"",IF(COUNT(H367:H372)&gt;0,L370-IF(I371="",0,I371),"")))</f>
        <v/>
      </c>
    </row>
    <row r="372" spans="2:14">
      <c r="B372" s="540">
        <v>354</v>
      </c>
      <c r="C372" s="552" t="str">
        <f t="shared" si="40"/>
        <v/>
      </c>
      <c r="D372" s="566" t="str">
        <f t="shared" si="43"/>
        <v/>
      </c>
      <c r="E372" s="575" t="str">
        <f t="shared" si="44"/>
        <v/>
      </c>
      <c r="F372" s="581" t="str">
        <f t="shared" si="41"/>
        <v/>
      </c>
      <c r="G372" s="592" t="str">
        <f t="shared" si="45"/>
        <v/>
      </c>
      <c r="H372" s="552" t="str">
        <f>IF(C372="","",IF(OR($D$9=12,$D$9=6),IF(AND(D$7&gt;0,ROUNDDOWN($D$14/6,0)&gt;=59),59,""),""))</f>
        <v/>
      </c>
      <c r="I372" s="605" t="str">
        <f t="shared" si="46"/>
        <v/>
      </c>
      <c r="J372" s="575" t="str">
        <f t="shared" si="47"/>
        <v/>
      </c>
      <c r="K372" s="581" t="str">
        <f t="shared" si="42"/>
        <v/>
      </c>
      <c r="L372" s="592" t="str">
        <f>IF(OR(L371=0,L371=""),"",IF(AND(H372="",C372=""),"",IF(COUNT(H367:H372)&gt;0,L371-IF(I372="",0,I372),"")))</f>
        <v/>
      </c>
    </row>
    <row r="373" spans="2:14">
      <c r="B373" s="540">
        <v>355</v>
      </c>
      <c r="C373" s="551" t="str">
        <f t="shared" si="40"/>
        <v/>
      </c>
      <c r="D373" s="565" t="str">
        <f t="shared" si="43"/>
        <v/>
      </c>
      <c r="E373" s="574" t="str">
        <f t="shared" si="44"/>
        <v/>
      </c>
      <c r="F373" s="580" t="str">
        <f t="shared" si="41"/>
        <v/>
      </c>
      <c r="G373" s="591" t="str">
        <f t="shared" si="45"/>
        <v/>
      </c>
      <c r="H373" s="551" t="str">
        <f>IF(C373="","",IF(OR($D$9=5,$D$9=11),IF(AND(D$7&gt;0,ROUNDDOWN($D$14/6,0)&gt;=60),60,""),""))</f>
        <v/>
      </c>
      <c r="I373" s="603" t="str">
        <f t="shared" ref="I373:I378" si="48">IF(H373="","",IF(H373&gt;0,L372,""))</f>
        <v/>
      </c>
      <c r="J373" s="574" t="str">
        <f t="shared" si="47"/>
        <v/>
      </c>
      <c r="K373" s="582" t="str">
        <f t="shared" si="42"/>
        <v/>
      </c>
      <c r="L373" s="593" t="str">
        <f>IF(OR(L372=0,L372=""),"",IF(AND(H373="",C373=""),"",IF(COUNT(H373:H378)&gt;0,L372-IF(I373="",0,I373),"")))</f>
        <v/>
      </c>
    </row>
    <row r="374" spans="2:14">
      <c r="B374" s="540">
        <v>356</v>
      </c>
      <c r="C374" s="551" t="str">
        <f t="shared" si="40"/>
        <v/>
      </c>
      <c r="D374" s="565" t="str">
        <f t="shared" si="43"/>
        <v/>
      </c>
      <c r="E374" s="574" t="str">
        <f t="shared" si="44"/>
        <v/>
      </c>
      <c r="F374" s="580" t="str">
        <f t="shared" si="41"/>
        <v/>
      </c>
      <c r="G374" s="591" t="str">
        <f t="shared" si="45"/>
        <v/>
      </c>
      <c r="H374" s="551" t="str">
        <f>IF(C374="","",IF(OR($D$9=4,$D$9=10),IF(AND(D$7&gt;0,ROUNDDOWN($D$14/6,0)&gt;=60),60,""),""))</f>
        <v/>
      </c>
      <c r="I374" s="604" t="str">
        <f t="shared" si="48"/>
        <v/>
      </c>
      <c r="J374" s="574" t="str">
        <f t="shared" si="47"/>
        <v/>
      </c>
      <c r="K374" s="580" t="str">
        <f t="shared" si="42"/>
        <v/>
      </c>
      <c r="L374" s="591" t="str">
        <f>IF(OR(L373=0,L373=""),"",IF(AND(H374="",C374=""),"",IF(COUNT(H373:H378)&gt;0,L373-IF(I374="",0,I374),"")))</f>
        <v/>
      </c>
    </row>
    <row r="375" spans="2:14">
      <c r="B375" s="540">
        <v>357</v>
      </c>
      <c r="C375" s="551" t="str">
        <f t="shared" si="40"/>
        <v/>
      </c>
      <c r="D375" s="565" t="str">
        <f t="shared" si="43"/>
        <v/>
      </c>
      <c r="E375" s="574" t="str">
        <f t="shared" si="44"/>
        <v/>
      </c>
      <c r="F375" s="580" t="str">
        <f t="shared" si="41"/>
        <v/>
      </c>
      <c r="G375" s="591" t="str">
        <f t="shared" si="45"/>
        <v/>
      </c>
      <c r="H375" s="551" t="str">
        <f>IF(C375="","",IF(OR($D$9=3,$D$9=9),IF(AND(D$7&gt;0,ROUNDDOWN($D$14/6,0)&gt;=60),60,""),""))</f>
        <v/>
      </c>
      <c r="I375" s="604" t="str">
        <f t="shared" si="48"/>
        <v/>
      </c>
      <c r="J375" s="574" t="str">
        <f t="shared" si="47"/>
        <v/>
      </c>
      <c r="K375" s="580" t="str">
        <f t="shared" si="42"/>
        <v/>
      </c>
      <c r="L375" s="591" t="str">
        <f>IF(OR(L374=0,L374=""),"",IF(AND(H375="",C375=""),"",IF(COUNT(H373:H378)&gt;0,L374-IF(I375="",0,I375),"")))</f>
        <v/>
      </c>
    </row>
    <row r="376" spans="2:14">
      <c r="B376" s="540">
        <v>358</v>
      </c>
      <c r="C376" s="551" t="str">
        <f t="shared" si="40"/>
        <v/>
      </c>
      <c r="D376" s="565" t="str">
        <f t="shared" si="43"/>
        <v/>
      </c>
      <c r="E376" s="574" t="str">
        <f t="shared" si="44"/>
        <v/>
      </c>
      <c r="F376" s="580" t="str">
        <f t="shared" si="41"/>
        <v/>
      </c>
      <c r="G376" s="591" t="str">
        <f t="shared" si="45"/>
        <v/>
      </c>
      <c r="H376" s="551" t="str">
        <f>IF(C376="","",IF(OR($D$9=2,$D$9=8),IF(AND(D$7&gt;0,ROUNDDOWN($D$14/6,0)&gt;=60),60,""),""))</f>
        <v/>
      </c>
      <c r="I376" s="604" t="str">
        <f t="shared" si="48"/>
        <v/>
      </c>
      <c r="J376" s="574" t="str">
        <f t="shared" si="47"/>
        <v/>
      </c>
      <c r="K376" s="580" t="str">
        <f t="shared" si="42"/>
        <v/>
      </c>
      <c r="L376" s="591" t="str">
        <f>IF(OR(L375=0,L375=""),"",IF(AND(H376="",C376=""),"",IF(COUNT(H373:H378)&gt;0,L375-IF(I376="",0,I376),"")))</f>
        <v/>
      </c>
    </row>
    <row r="377" spans="2:14">
      <c r="B377" s="540">
        <v>359</v>
      </c>
      <c r="C377" s="551" t="str">
        <f t="shared" si="40"/>
        <v/>
      </c>
      <c r="D377" s="565" t="str">
        <f t="shared" si="43"/>
        <v/>
      </c>
      <c r="E377" s="574" t="str">
        <f t="shared" si="44"/>
        <v/>
      </c>
      <c r="F377" s="580" t="str">
        <f t="shared" si="41"/>
        <v/>
      </c>
      <c r="G377" s="591" t="str">
        <f t="shared" si="45"/>
        <v/>
      </c>
      <c r="H377" s="551" t="str">
        <f>IF(C377="","",IF(OR($D$9=1,$D$9=7),IF(AND(D$7&gt;0,ROUNDDOWN($D$14/6,0)&gt;=60),60,""),""))</f>
        <v/>
      </c>
      <c r="I377" s="604" t="str">
        <f t="shared" si="48"/>
        <v/>
      </c>
      <c r="J377" s="574" t="str">
        <f t="shared" si="47"/>
        <v/>
      </c>
      <c r="K377" s="580" t="str">
        <f t="shared" si="42"/>
        <v/>
      </c>
      <c r="L377" s="591" t="str">
        <f>IF(OR(L376=0,L376=""),"",IF(AND(H377="",C377=""),"",IF(COUNT(H373:H378)&gt;0,L376-IF(I377="",0,I377),"")))</f>
        <v/>
      </c>
    </row>
    <row r="378" spans="2:14" ht="14.25">
      <c r="B378" s="540">
        <v>360</v>
      </c>
      <c r="C378" s="551" t="str">
        <f t="shared" si="40"/>
        <v/>
      </c>
      <c r="D378" s="565" t="str">
        <f t="shared" si="43"/>
        <v/>
      </c>
      <c r="E378" s="574" t="str">
        <f t="shared" si="44"/>
        <v/>
      </c>
      <c r="F378" s="580" t="str">
        <f t="shared" si="41"/>
        <v/>
      </c>
      <c r="G378" s="591" t="str">
        <f t="shared" si="45"/>
        <v/>
      </c>
      <c r="H378" s="551" t="str">
        <f>IF(C378="","",IF(OR($D$9=12,$D$9=6),IF(AND(D$7&gt;0,ROUNDDOWN($D$14/6,0)&gt;=60),60,""),""))</f>
        <v/>
      </c>
      <c r="I378" s="605" t="str">
        <f t="shared" si="48"/>
        <v/>
      </c>
      <c r="J378" s="575" t="str">
        <f t="shared" si="47"/>
        <v/>
      </c>
      <c r="K378" s="581" t="str">
        <f t="shared" si="42"/>
        <v/>
      </c>
      <c r="L378" s="592" t="str">
        <f>IF(OR(L377=0,L377=""),"",IF(AND(H378="",C378=""),"",IF(COUNT(H373:H378)&gt;0,L377-IF(I378="",0,I378),"")))</f>
        <v/>
      </c>
      <c r="N378" s="606"/>
    </row>
    <row r="379" spans="2:14" ht="14.25">
      <c r="C379" s="549" t="s">
        <v>124</v>
      </c>
      <c r="D379" s="568">
        <f>SUM(D19:D378)</f>
        <v>0</v>
      </c>
      <c r="E379" s="568">
        <f>SUM(E19:E378)</f>
        <v>0</v>
      </c>
      <c r="F379" s="568">
        <f>SUM(F19:F378)</f>
        <v>0</v>
      </c>
      <c r="G379" s="594"/>
      <c r="H379" s="599" t="s">
        <v>124</v>
      </c>
      <c r="I379" s="568">
        <f>SUM(I19:I378)</f>
        <v>0</v>
      </c>
      <c r="J379" s="568">
        <f>SUM(J19:J378)</f>
        <v>0</v>
      </c>
      <c r="K379" s="568">
        <f>I379+J379</f>
        <v>0</v>
      </c>
      <c r="L379" s="594"/>
    </row>
  </sheetData>
  <mergeCells count="4">
    <mergeCell ref="C2:D2"/>
    <mergeCell ref="G8:H8"/>
    <mergeCell ref="C17:G17"/>
    <mergeCell ref="H17:L17"/>
  </mergeCells>
  <phoneticPr fontId="2"/>
  <pageMargins left="0.75" right="0.75" top="1" bottom="1" header="0.51200000000000001" footer="0.51200000000000001"/>
  <pageSetup paperSize="9" scale="6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IV379"/>
  <sheetViews>
    <sheetView zoomScale="75" zoomScaleNormal="75" workbookViewId="0">
      <pane ySplit="14" topLeftCell="A15" activePane="bottomLeft" state="frozen"/>
      <selection pane="bottomLeft" activeCell="I11" sqref="I11"/>
    </sheetView>
  </sheetViews>
  <sheetFormatPr defaultRowHeight="13.5"/>
  <cols>
    <col min="1" max="1" width="8.6328125" style="537" customWidth="1"/>
    <col min="2" max="2" width="9" style="537" hidden="1" customWidth="1"/>
    <col min="3" max="3" width="20.6328125" style="538" customWidth="1"/>
    <col min="4" max="4" width="12.6328125" style="537" customWidth="1"/>
    <col min="5" max="7" width="11.6328125" style="537" customWidth="1"/>
    <col min="8" max="8" width="10.6328125" style="537" customWidth="1"/>
    <col min="9" max="12" width="11.6328125" style="537" customWidth="1"/>
    <col min="13" max="256" width="9" style="537" customWidth="1"/>
  </cols>
  <sheetData>
    <row r="1" spans="3:12" ht="13.5" customHeight="1"/>
    <row r="2" spans="3:12" ht="19.5">
      <c r="C2" s="541" t="s">
        <v>141</v>
      </c>
      <c r="D2" s="554"/>
      <c r="E2" s="569"/>
    </row>
    <row r="3" spans="3:12" ht="13.5" customHeight="1">
      <c r="C3" s="542"/>
      <c r="D3" s="542"/>
      <c r="E3" s="542"/>
    </row>
    <row r="4" spans="3:12">
      <c r="C4" s="543" t="s">
        <v>41</v>
      </c>
    </row>
    <row r="5" spans="3:12" ht="14.25">
      <c r="C5" s="545" t="s">
        <v>110</v>
      </c>
      <c r="D5" s="538"/>
    </row>
    <row r="6" spans="3:12" ht="14.25">
      <c r="C6" s="546" t="s">
        <v>111</v>
      </c>
      <c r="D6" s="607"/>
      <c r="F6" s="577"/>
    </row>
    <row r="7" spans="3:12" ht="14.25">
      <c r="C7" s="546" t="s">
        <v>112</v>
      </c>
      <c r="D7" s="607"/>
      <c r="F7" s="577" t="s">
        <v>144</v>
      </c>
    </row>
    <row r="8" spans="3:12" ht="14.25">
      <c r="C8" s="546" t="s">
        <v>113</v>
      </c>
      <c r="D8" s="608">
        <f>D6-D7</f>
        <v>0</v>
      </c>
      <c r="F8" s="577"/>
      <c r="G8" s="583" t="s">
        <v>132</v>
      </c>
      <c r="H8" s="595"/>
      <c r="I8" s="589" t="s">
        <v>139</v>
      </c>
      <c r="K8" s="578"/>
    </row>
    <row r="9" spans="3:12" ht="14.25">
      <c r="C9" s="546" t="s">
        <v>142</v>
      </c>
      <c r="D9" s="557"/>
      <c r="F9" s="577"/>
      <c r="G9" s="584" t="s">
        <v>133</v>
      </c>
      <c r="H9" s="596">
        <v>1</v>
      </c>
      <c r="I9" s="600">
        <v>9.2999999999999992e-003</v>
      </c>
      <c r="K9" s="578"/>
    </row>
    <row r="10" spans="3:12" ht="14.25">
      <c r="C10" s="546" t="s">
        <v>116</v>
      </c>
      <c r="D10" s="558"/>
      <c r="F10" s="577"/>
      <c r="G10" s="585" t="s">
        <v>134</v>
      </c>
      <c r="H10" s="597">
        <v>2</v>
      </c>
      <c r="I10" s="601">
        <v>1.e-002</v>
      </c>
      <c r="K10" s="578"/>
    </row>
    <row r="11" spans="3:12" ht="14.25">
      <c r="C11" s="546" t="s">
        <v>39</v>
      </c>
      <c r="D11" s="559" t="str">
        <f>IF(D10="","",IF(D10=1,I9,IF(D10=2,I10,I11)))</f>
        <v/>
      </c>
      <c r="E11" s="570"/>
      <c r="G11" s="586" t="s">
        <v>131</v>
      </c>
      <c r="H11" s="598">
        <v>3</v>
      </c>
      <c r="I11" s="602">
        <v>1.26e-002</v>
      </c>
      <c r="K11" s="580"/>
      <c r="L11" s="580"/>
    </row>
    <row r="12" spans="3:12" ht="14.25">
      <c r="C12" s="546" t="s">
        <v>117</v>
      </c>
      <c r="D12" s="559" t="str">
        <f>IF(D10="","",ROUND(D11/2,6))</f>
        <v/>
      </c>
      <c r="E12" s="570"/>
    </row>
    <row r="13" spans="3:12" ht="14.25">
      <c r="C13" s="546" t="s">
        <v>118</v>
      </c>
      <c r="D13" s="559" t="str">
        <f>IF(D10="","",ROUND(D11/12,6))</f>
        <v/>
      </c>
      <c r="E13" s="571"/>
      <c r="F13" s="610"/>
      <c r="G13" s="587" t="s">
        <v>136</v>
      </c>
      <c r="H13" s="613" t="s">
        <v>88</v>
      </c>
      <c r="I13" s="616" t="s">
        <v>145</v>
      </c>
      <c r="J13" s="618"/>
      <c r="K13" s="620"/>
    </row>
    <row r="14" spans="3:12" ht="14.25">
      <c r="C14" s="546" t="s">
        <v>120</v>
      </c>
      <c r="D14" s="609"/>
      <c r="E14" s="561"/>
      <c r="F14" s="611"/>
      <c r="G14" s="612" t="str">
        <f>IF(D14="","",F379+K379)</f>
        <v/>
      </c>
      <c r="H14" s="614" t="str">
        <f>IF(D14="","",ROUNDDOWN(PMT($D$13,$D$14,-$D$8),0))</f>
        <v/>
      </c>
      <c r="I14" s="614" t="str">
        <f>IF(D14="","",(IF(OR($D$9=6,$D$9=12),ROUNDDOWN(PMT($D$12,ROUNDDOWN($D$14/6,0),-$D$7),0),ROUNDDOWN($D$7*$D$12*(1+IF(OR($D$9=5,$D$9=11),1,IF(OR($D$9=4,$D$9=10),2,IF(OR($D$9=3,$D$9=9),3,IF(OR($D$9=2,$D$9=8),4,5))))*$D$12/6)/((1-(1/((1+$D$12)^(ROUNDDOWN($D$14/6,0)))))*(1+$D$12)),0))))</f>
        <v/>
      </c>
      <c r="J14" s="619"/>
      <c r="K14" s="621"/>
    </row>
    <row r="15" spans="3:12">
      <c r="D15" s="561"/>
      <c r="E15" s="561"/>
      <c r="F15" s="578"/>
      <c r="K15" s="578"/>
    </row>
    <row r="16" spans="3:12" ht="14.25">
      <c r="C16" s="538" t="s">
        <v>143</v>
      </c>
      <c r="D16" s="561"/>
      <c r="E16" s="561"/>
      <c r="F16" s="578"/>
      <c r="L16" s="537" t="s">
        <v>85</v>
      </c>
    </row>
    <row r="17" spans="2:12" ht="14.25">
      <c r="B17" s="538"/>
      <c r="C17" s="583" t="s">
        <v>122</v>
      </c>
      <c r="D17" s="562"/>
      <c r="E17" s="562"/>
      <c r="F17" s="562"/>
      <c r="G17" s="562"/>
      <c r="H17" s="583" t="s">
        <v>138</v>
      </c>
      <c r="I17" s="562"/>
      <c r="J17" s="562"/>
      <c r="K17" s="562"/>
      <c r="L17" s="589"/>
    </row>
    <row r="18" spans="2:12" ht="14.25">
      <c r="C18" s="549" t="s">
        <v>115</v>
      </c>
      <c r="D18" s="563" t="s">
        <v>125</v>
      </c>
      <c r="E18" s="572" t="s">
        <v>128</v>
      </c>
      <c r="F18" s="562" t="s">
        <v>130</v>
      </c>
      <c r="G18" s="562" t="s">
        <v>137</v>
      </c>
      <c r="H18" s="615" t="s">
        <v>115</v>
      </c>
      <c r="I18" s="563" t="s">
        <v>125</v>
      </c>
      <c r="J18" s="572" t="s">
        <v>128</v>
      </c>
      <c r="K18" s="562" t="s">
        <v>130</v>
      </c>
      <c r="L18" s="589" t="s">
        <v>137</v>
      </c>
    </row>
    <row r="19" spans="2:12">
      <c r="B19" s="540">
        <v>1</v>
      </c>
      <c r="C19" s="550" t="str">
        <f t="shared" ref="C19:C82" si="0">IF($D$14&gt;=B19,B19,"")</f>
        <v/>
      </c>
      <c r="D19" s="564" t="str">
        <f>IF(C19="","",F19-E19)</f>
        <v/>
      </c>
      <c r="E19" s="573" t="str">
        <f>IF(C19="","",ROUNDDOWN($D$8*$D$13,0))</f>
        <v/>
      </c>
      <c r="F19" s="579" t="str">
        <f>IF(C19="","",ROUNDDOWN(PMT($D$13,$D$14,-$D$8),0))</f>
        <v/>
      </c>
      <c r="G19" s="579" t="str">
        <f>IF(C19="","",D8-D19)</f>
        <v/>
      </c>
      <c r="H19" s="550" t="str">
        <f>IF(C19="","",IF(OR($D$9=5,$D$9=11),IF(AND(D$7&gt;0,ROUNDDOWN($D$14/6,0)&gt;=1),1,""),""))</f>
        <v/>
      </c>
      <c r="I19" s="617" t="str">
        <f>IF(H19="","",IF(H25="",D7,K19-J19))</f>
        <v/>
      </c>
      <c r="J19" s="573" t="str">
        <f>IF(H19="","",ROUNDDOWN(IF(OR($D$9=6,$D$9=12),D7*$D$12,D7*$D$13*IF(OR($D$9=5,$D$9=11),1,IF(OR($D$9=4,$D$9=10),2,IF(OR($D$9=3,$D$9=9),3,IF(OR($D$9=2,$D$9=8),4,5))))),0))</f>
        <v/>
      </c>
      <c r="K19" s="579" t="str">
        <f t="shared" ref="K19:K82" si="1">IF(H19="","",IF(H25="",I19+J19,$I$14))</f>
        <v/>
      </c>
      <c r="L19" s="590" t="str">
        <f>IF(AND(D$7&gt;0,COUNT(H19:H24)&gt;0),D$7-IF(I19="",0,I19),"")</f>
        <v/>
      </c>
    </row>
    <row r="20" spans="2:12">
      <c r="B20" s="540">
        <v>2</v>
      </c>
      <c r="C20" s="551" t="str">
        <f t="shared" si="0"/>
        <v/>
      </c>
      <c r="D20" s="565" t="str">
        <f t="shared" ref="D20:D83" si="2">IF(C20="","",IF(C20=$D$14,G19,F20-E20))</f>
        <v/>
      </c>
      <c r="E20" s="574" t="str">
        <f t="shared" ref="E20:E83" si="3">IF(C20="","",ROUNDDOWN(G19*$D$13,0))</f>
        <v/>
      </c>
      <c r="F20" s="580" t="str">
        <f t="shared" ref="F20:F83" si="4">IF(C20="","",IF(C20=$D$14,G19+E20,ROUNDDOWN(PMT($D$13,$D$14,-$D$8),0)))</f>
        <v/>
      </c>
      <c r="G20" s="580" t="str">
        <f t="shared" ref="G20:G83" si="5">IF(C20="","",G19-D20)</f>
        <v/>
      </c>
      <c r="H20" s="551" t="str">
        <f>IF(C20="","",IF(OR($D$9=4,$D$9=10),IF(AND(D$7&gt;0,ROUNDDOWN($D$14/6,0)&gt;=1),1,""),""))</f>
        <v/>
      </c>
      <c r="I20" s="604" t="str">
        <f t="shared" ref="I20:I83" si="6">IF(H20="","",IF(H26="",L19,K20-J20))</f>
        <v/>
      </c>
      <c r="J20" s="574" t="str">
        <f>IF(H20="","",ROUNDDOWN(IF(OR($D$9=6,$D$9=12),L19*$D$12,L19*$D$13*IF(OR($D$9=5,$D$9=11),1,IF(OR($D$9=4,$D$9=10),2,IF(OR($D$9=3,$D$9=9),3,IF(OR($D$9=2,$D$9=8),4,5))))),0))</f>
        <v/>
      </c>
      <c r="K20" s="580" t="str">
        <f t="shared" si="1"/>
        <v/>
      </c>
      <c r="L20" s="591" t="str">
        <f>IF(OR(L19=0,L19=""),"",IF(AND(H20="",C20=""),"",IF(COUNT(H19:H24)&gt;0,L19-IF(I20="",0,I20),"")))</f>
        <v/>
      </c>
    </row>
    <row r="21" spans="2:12">
      <c r="B21" s="540">
        <v>3</v>
      </c>
      <c r="C21" s="551" t="str">
        <f t="shared" si="0"/>
        <v/>
      </c>
      <c r="D21" s="565" t="str">
        <f t="shared" si="2"/>
        <v/>
      </c>
      <c r="E21" s="574" t="str">
        <f t="shared" si="3"/>
        <v/>
      </c>
      <c r="F21" s="580" t="str">
        <f t="shared" si="4"/>
        <v/>
      </c>
      <c r="G21" s="580" t="str">
        <f t="shared" si="5"/>
        <v/>
      </c>
      <c r="H21" s="551" t="str">
        <f>IF(C21="","",IF(OR($D$9=3,$D$9=9),IF(AND(D$7&gt;0,ROUNDDOWN($D$14/6,0)&gt;=1),1,""),""))</f>
        <v/>
      </c>
      <c r="I21" s="604" t="str">
        <f t="shared" si="6"/>
        <v/>
      </c>
      <c r="J21" s="574" t="str">
        <f>IF(H21="","",ROUNDDOWN(IF(OR($D$9=6,$D$9=12),L20*$D$12,L20*$D$13*IF(OR($D$9=5,$D$9=11),1,IF(OR($D$9=4,$D$9=10),2,IF(OR($D$9=3,$D$9=9),3,IF(OR($D$9=2,$D$9=8),4,5))))),0))</f>
        <v/>
      </c>
      <c r="K21" s="580" t="str">
        <f t="shared" si="1"/>
        <v/>
      </c>
      <c r="L21" s="591" t="str">
        <f>IF(OR(L20=0,L20=""),"",IF(AND(H21="",C21=""),"",IF(COUNT(H19:H24)&gt;0,L20-IF(I21="",0,I21),"")))</f>
        <v/>
      </c>
    </row>
    <row r="22" spans="2:12">
      <c r="B22" s="540">
        <v>4</v>
      </c>
      <c r="C22" s="551" t="str">
        <f t="shared" si="0"/>
        <v/>
      </c>
      <c r="D22" s="565" t="str">
        <f t="shared" si="2"/>
        <v/>
      </c>
      <c r="E22" s="574" t="str">
        <f t="shared" si="3"/>
        <v/>
      </c>
      <c r="F22" s="580" t="str">
        <f t="shared" si="4"/>
        <v/>
      </c>
      <c r="G22" s="580" t="str">
        <f t="shared" si="5"/>
        <v/>
      </c>
      <c r="H22" s="551" t="str">
        <f>IF(C22="","",IF(OR($D$9=2,$D$9=8),IF(AND(D$7&gt;0,ROUNDDOWN($D$14/6,0)&gt;=1),1,""),""))</f>
        <v/>
      </c>
      <c r="I22" s="604" t="str">
        <f t="shared" si="6"/>
        <v/>
      </c>
      <c r="J22" s="574" t="str">
        <f>IF(H22="","",ROUNDDOWN(IF(OR($D$9=6,$D$9=12),L21*$D$12,L21*$D$13*IF(OR($D$9=5,$D$9=11),1,IF(OR($D$9=4,$D$9=10),2,IF(OR($D$9=3,$D$9=9),3,IF(OR($D$9=2,$D$9=8),4,5))))),0))</f>
        <v/>
      </c>
      <c r="K22" s="580" t="str">
        <f t="shared" si="1"/>
        <v/>
      </c>
      <c r="L22" s="591" t="str">
        <f>IF(OR(L21=0,L21=""),"",IF(AND(H22="",C22=""),"",IF(COUNT(H19:H24)&gt;0,L21-IF(I22="",0,I22),"")))</f>
        <v/>
      </c>
    </row>
    <row r="23" spans="2:12">
      <c r="B23" s="540">
        <v>5</v>
      </c>
      <c r="C23" s="551" t="str">
        <f t="shared" si="0"/>
        <v/>
      </c>
      <c r="D23" s="565" t="str">
        <f t="shared" si="2"/>
        <v/>
      </c>
      <c r="E23" s="574" t="str">
        <f t="shared" si="3"/>
        <v/>
      </c>
      <c r="F23" s="580" t="str">
        <f t="shared" si="4"/>
        <v/>
      </c>
      <c r="G23" s="580" t="str">
        <f t="shared" si="5"/>
        <v/>
      </c>
      <c r="H23" s="551" t="str">
        <f>IF(C23="","",IF(OR($D$9=1,$D$9=7),IF(AND(D$7&gt;0,ROUNDDOWN($D$14/6,0)&gt;=1),1,""),""))</f>
        <v/>
      </c>
      <c r="I23" s="604" t="str">
        <f t="shared" si="6"/>
        <v/>
      </c>
      <c r="J23" s="574" t="str">
        <f>IF(H23="","",ROUNDDOWN(IF(OR($D$9=6,$D$9=12),L22*$D$12,L22*$D$13*IF(OR($D$9=5,$D$9=11),1,IF(OR($D$9=4,$D$9=10),2,IF(OR($D$9=3,$D$9=9),3,IF(OR($D$9=2,$D$9=8),4,5))))),0))</f>
        <v/>
      </c>
      <c r="K23" s="580" t="str">
        <f t="shared" si="1"/>
        <v/>
      </c>
      <c r="L23" s="591" t="str">
        <f>IF(OR(L22=0,L22=""),"",IF(AND(H23="",C23=""),"",IF(COUNT(H19:H24)&gt;0,L22-IF(I23="",0,I23),"")))</f>
        <v/>
      </c>
    </row>
    <row r="24" spans="2:12">
      <c r="B24" s="540">
        <v>6</v>
      </c>
      <c r="C24" s="552" t="str">
        <f t="shared" si="0"/>
        <v/>
      </c>
      <c r="D24" s="566" t="str">
        <f t="shared" si="2"/>
        <v/>
      </c>
      <c r="E24" s="575" t="str">
        <f t="shared" si="3"/>
        <v/>
      </c>
      <c r="F24" s="581" t="str">
        <f t="shared" si="4"/>
        <v/>
      </c>
      <c r="G24" s="581" t="str">
        <f t="shared" si="5"/>
        <v/>
      </c>
      <c r="H24" s="552" t="str">
        <f>IF(C24="","",IF(OR($D$9=12,$D$9=6),IF(AND(D$7&gt;0,ROUNDDOWN($D$14/6,0)&gt;=1),1,""),""))</f>
        <v/>
      </c>
      <c r="I24" s="605" t="str">
        <f t="shared" si="6"/>
        <v/>
      </c>
      <c r="J24" s="575" t="str">
        <f>IF(H24="","",ROUNDDOWN(IF(OR($D$9=6,$D$9=12),L23*$D$12,L23*$D$13*IF(OR($D$9=5,$D$9=11),1,IF(OR($D$9=4,$D$9=10),2,IF(OR($D$9=3,$D$9=9),3,IF(OR($D$9=2,$D$9=8),4,5))))),0))</f>
        <v/>
      </c>
      <c r="K24" s="581" t="str">
        <f t="shared" si="1"/>
        <v/>
      </c>
      <c r="L24" s="592" t="str">
        <f>IF(OR(L23=0,L23=""),"",IF(AND(H24="",C24=""),"",IF(COUNT(H19:H24)&gt;0,L23-IF(I24="",0,I24),"")))</f>
        <v/>
      </c>
    </row>
    <row r="25" spans="2:12">
      <c r="B25" s="540">
        <v>7</v>
      </c>
      <c r="C25" s="551" t="str">
        <f t="shared" si="0"/>
        <v/>
      </c>
      <c r="D25" s="565" t="str">
        <f t="shared" si="2"/>
        <v/>
      </c>
      <c r="E25" s="574" t="str">
        <f t="shared" si="3"/>
        <v/>
      </c>
      <c r="F25" s="580" t="str">
        <f t="shared" si="4"/>
        <v/>
      </c>
      <c r="G25" s="580" t="str">
        <f t="shared" si="5"/>
        <v/>
      </c>
      <c r="H25" s="553" t="str">
        <f>IF(C25="","",IF(OR($D$9=5,$D$9=11),IF(AND(D$7&gt;0,ROUNDDOWN($D$14/6,0)&gt;=2),2,""),""))</f>
        <v/>
      </c>
      <c r="I25" s="565" t="str">
        <f t="shared" si="6"/>
        <v/>
      </c>
      <c r="J25" s="574" t="str">
        <f t="shared" ref="J25:J88" si="7">IF(H25="","",ROUNDDOWN(L24*$D$12,0))</f>
        <v/>
      </c>
      <c r="K25" s="580" t="str">
        <f t="shared" si="1"/>
        <v/>
      </c>
      <c r="L25" s="591" t="str">
        <f>IF(OR(L24=0,L24=""),"",IF(AND(H25="",C25=""),"",IF(COUNT(H25:H30)&gt;0,L24-IF(I25="",0,I25),"")))</f>
        <v/>
      </c>
    </row>
    <row r="26" spans="2:12">
      <c r="B26" s="540">
        <v>8</v>
      </c>
      <c r="C26" s="551" t="str">
        <f t="shared" si="0"/>
        <v/>
      </c>
      <c r="D26" s="565" t="str">
        <f t="shared" si="2"/>
        <v/>
      </c>
      <c r="E26" s="574" t="str">
        <f t="shared" si="3"/>
        <v/>
      </c>
      <c r="F26" s="580" t="str">
        <f t="shared" si="4"/>
        <v/>
      </c>
      <c r="G26" s="580" t="str">
        <f t="shared" si="5"/>
        <v/>
      </c>
      <c r="H26" s="551" t="str">
        <f>IF(C26="","",IF(OR($D$9=4,$D$9=10),IF(AND(D$7&gt;0,ROUNDDOWN($D$14/6,0)&gt;=2),2,""),""))</f>
        <v/>
      </c>
      <c r="I26" s="565" t="str">
        <f t="shared" si="6"/>
        <v/>
      </c>
      <c r="J26" s="574" t="str">
        <f t="shared" si="7"/>
        <v/>
      </c>
      <c r="K26" s="580" t="str">
        <f t="shared" si="1"/>
        <v/>
      </c>
      <c r="L26" s="591" t="str">
        <f>IF(OR(L25=0,L25=""),"",IF(AND(H26="",C26=""),"",IF(COUNT(H25:H30)&gt;0,L25-IF(I26="",0,I26),"")))</f>
        <v/>
      </c>
    </row>
    <row r="27" spans="2:12">
      <c r="B27" s="540">
        <v>9</v>
      </c>
      <c r="C27" s="551" t="str">
        <f t="shared" si="0"/>
        <v/>
      </c>
      <c r="D27" s="565" t="str">
        <f t="shared" si="2"/>
        <v/>
      </c>
      <c r="E27" s="574" t="str">
        <f t="shared" si="3"/>
        <v/>
      </c>
      <c r="F27" s="580" t="str">
        <f t="shared" si="4"/>
        <v/>
      </c>
      <c r="G27" s="580" t="str">
        <f t="shared" si="5"/>
        <v/>
      </c>
      <c r="H27" s="551" t="str">
        <f>IF(C27="","",IF(OR($D$9=3,$D$9=9),IF(AND(D$7&gt;0,ROUNDDOWN($D$14/6,0)&gt;=2),2,""),""))</f>
        <v/>
      </c>
      <c r="I27" s="565" t="str">
        <f t="shared" si="6"/>
        <v/>
      </c>
      <c r="J27" s="574" t="str">
        <f t="shared" si="7"/>
        <v/>
      </c>
      <c r="K27" s="580" t="str">
        <f t="shared" si="1"/>
        <v/>
      </c>
      <c r="L27" s="591" t="str">
        <f>IF(OR(L26=0,L26=""),"",IF(AND(H27="",C27=""),"",IF(COUNT(H25:H30)&gt;0,L26-IF(I27="",0,I27),"")))</f>
        <v/>
      </c>
    </row>
    <row r="28" spans="2:12">
      <c r="B28" s="540">
        <v>10</v>
      </c>
      <c r="C28" s="551" t="str">
        <f t="shared" si="0"/>
        <v/>
      </c>
      <c r="D28" s="565" t="str">
        <f t="shared" si="2"/>
        <v/>
      </c>
      <c r="E28" s="574" t="str">
        <f t="shared" si="3"/>
        <v/>
      </c>
      <c r="F28" s="580" t="str">
        <f t="shared" si="4"/>
        <v/>
      </c>
      <c r="G28" s="580" t="str">
        <f t="shared" si="5"/>
        <v/>
      </c>
      <c r="H28" s="551" t="str">
        <f>IF(C28="","",IF(OR($D$9=2,$D$9=8),IF(AND(D$7&gt;0,ROUNDDOWN($D$14/6,0)&gt;=2),2,""),""))</f>
        <v/>
      </c>
      <c r="I28" s="565" t="str">
        <f t="shared" si="6"/>
        <v/>
      </c>
      <c r="J28" s="574" t="str">
        <f t="shared" si="7"/>
        <v/>
      </c>
      <c r="K28" s="580" t="str">
        <f t="shared" si="1"/>
        <v/>
      </c>
      <c r="L28" s="591" t="str">
        <f>IF(OR(L27=0,L27=""),"",IF(AND(H28="",C28=""),"",IF(COUNT(H25:H30)&gt;0,L27-IF(I28="",0,I28),"")))</f>
        <v/>
      </c>
    </row>
    <row r="29" spans="2:12">
      <c r="B29" s="540">
        <v>11</v>
      </c>
      <c r="C29" s="551" t="str">
        <f t="shared" si="0"/>
        <v/>
      </c>
      <c r="D29" s="565" t="str">
        <f t="shared" si="2"/>
        <v/>
      </c>
      <c r="E29" s="574" t="str">
        <f t="shared" si="3"/>
        <v/>
      </c>
      <c r="F29" s="580" t="str">
        <f t="shared" si="4"/>
        <v/>
      </c>
      <c r="G29" s="580" t="str">
        <f t="shared" si="5"/>
        <v/>
      </c>
      <c r="H29" s="551" t="str">
        <f>IF(C29="","",IF(OR($D$9=1,$D$9=7),IF(AND(D$7&gt;0,ROUNDDOWN($D$14/6,0)&gt;=2),2,""),""))</f>
        <v/>
      </c>
      <c r="I29" s="565" t="str">
        <f t="shared" si="6"/>
        <v/>
      </c>
      <c r="J29" s="574" t="str">
        <f t="shared" si="7"/>
        <v/>
      </c>
      <c r="K29" s="580" t="str">
        <f t="shared" si="1"/>
        <v/>
      </c>
      <c r="L29" s="591" t="str">
        <f>IF(OR(L28=0,L28=""),"",IF(AND(H29="",C29=""),"",IF(COUNT(H25:H30)&gt;0,L28-IF(I29="",0,I29),"")))</f>
        <v/>
      </c>
    </row>
    <row r="30" spans="2:12">
      <c r="B30" s="540">
        <v>12</v>
      </c>
      <c r="C30" s="551" t="str">
        <f t="shared" si="0"/>
        <v/>
      </c>
      <c r="D30" s="565" t="str">
        <f t="shared" si="2"/>
        <v/>
      </c>
      <c r="E30" s="574" t="str">
        <f t="shared" si="3"/>
        <v/>
      </c>
      <c r="F30" s="580" t="str">
        <f t="shared" si="4"/>
        <v/>
      </c>
      <c r="G30" s="580" t="str">
        <f t="shared" si="5"/>
        <v/>
      </c>
      <c r="H30" s="551" t="str">
        <f>IF(C30="","",IF(OR($D$9=12,$D$9=6),IF(AND(D$7&gt;0,ROUNDDOWN($D$14/6,0)&gt;=2),2,""),""))</f>
        <v/>
      </c>
      <c r="I30" s="565" t="str">
        <f t="shared" si="6"/>
        <v/>
      </c>
      <c r="J30" s="574" t="str">
        <f t="shared" si="7"/>
        <v/>
      </c>
      <c r="K30" s="580" t="str">
        <f t="shared" si="1"/>
        <v/>
      </c>
      <c r="L30" s="591" t="str">
        <f>IF(OR(L29=0,L29=""),"",IF(AND(H30="",C30=""),"",IF(COUNT(H25:H30)&gt;0,L29-IF(I30="",0,I30),"")))</f>
        <v/>
      </c>
    </row>
    <row r="31" spans="2:12">
      <c r="B31" s="540">
        <v>13</v>
      </c>
      <c r="C31" s="553" t="str">
        <f t="shared" si="0"/>
        <v/>
      </c>
      <c r="D31" s="567" t="str">
        <f t="shared" si="2"/>
        <v/>
      </c>
      <c r="E31" s="576" t="str">
        <f t="shared" si="3"/>
        <v/>
      </c>
      <c r="F31" s="582" t="str">
        <f t="shared" si="4"/>
        <v/>
      </c>
      <c r="G31" s="582" t="str">
        <f t="shared" si="5"/>
        <v/>
      </c>
      <c r="H31" s="553" t="str">
        <f>IF(C33="","",IF(OR($D$9=5,$D$9=11),IF(AND(D$7&gt;0,ROUNDDOWN($D$14/6,0)&gt;=3),3,""),""))</f>
        <v/>
      </c>
      <c r="I31" s="567" t="str">
        <f t="shared" si="6"/>
        <v/>
      </c>
      <c r="J31" s="576" t="str">
        <f t="shared" si="7"/>
        <v/>
      </c>
      <c r="K31" s="582" t="str">
        <f t="shared" si="1"/>
        <v/>
      </c>
      <c r="L31" s="593" t="str">
        <f>IF(OR(L30=0,L30=""),"",IF(AND(H31="",C31=""),"",IF(COUNT(H31:H36)&gt;0,L30-IF(I31="",0,I31),"")))</f>
        <v/>
      </c>
    </row>
    <row r="32" spans="2:12">
      <c r="B32" s="540">
        <v>14</v>
      </c>
      <c r="C32" s="551" t="str">
        <f t="shared" si="0"/>
        <v/>
      </c>
      <c r="D32" s="565" t="str">
        <f t="shared" si="2"/>
        <v/>
      </c>
      <c r="E32" s="574" t="str">
        <f t="shared" si="3"/>
        <v/>
      </c>
      <c r="F32" s="580" t="str">
        <f t="shared" si="4"/>
        <v/>
      </c>
      <c r="G32" s="580" t="str">
        <f t="shared" si="5"/>
        <v/>
      </c>
      <c r="H32" s="551" t="str">
        <f>IF(C32="","",IF(OR($D$9=4,$D$9=10),IF(AND(D$7&gt;0,ROUNDDOWN($D$14/6,0)&gt;=3),3,""),""))</f>
        <v/>
      </c>
      <c r="I32" s="565" t="str">
        <f t="shared" si="6"/>
        <v/>
      </c>
      <c r="J32" s="574" t="str">
        <f t="shared" si="7"/>
        <v/>
      </c>
      <c r="K32" s="580" t="str">
        <f t="shared" si="1"/>
        <v/>
      </c>
      <c r="L32" s="591" t="str">
        <f>IF(OR(L31=0,L31=""),"",IF(AND(H32="",C32=""),"",IF(COUNT(H31:H36)&gt;0,L31-IF(I32="",0,I32),"")))</f>
        <v/>
      </c>
    </row>
    <row r="33" spans="2:12">
      <c r="B33" s="540">
        <v>15</v>
      </c>
      <c r="C33" s="551" t="str">
        <f t="shared" si="0"/>
        <v/>
      </c>
      <c r="D33" s="565" t="str">
        <f t="shared" si="2"/>
        <v/>
      </c>
      <c r="E33" s="574" t="str">
        <f t="shared" si="3"/>
        <v/>
      </c>
      <c r="F33" s="580" t="str">
        <f t="shared" si="4"/>
        <v/>
      </c>
      <c r="G33" s="580" t="str">
        <f t="shared" si="5"/>
        <v/>
      </c>
      <c r="H33" s="551" t="str">
        <f>IF(C33="","",IF(OR($D$9=3,$D$9=9),IF(AND(D$7&gt;0,ROUNDDOWN($D$14/6,0)&gt;=3),3,""),""))</f>
        <v/>
      </c>
      <c r="I33" s="565" t="str">
        <f t="shared" si="6"/>
        <v/>
      </c>
      <c r="J33" s="574" t="str">
        <f t="shared" si="7"/>
        <v/>
      </c>
      <c r="K33" s="580" t="str">
        <f t="shared" si="1"/>
        <v/>
      </c>
      <c r="L33" s="591" t="str">
        <f>IF(OR(L32=0,L32=""),"",IF(AND(H33="",C33=""),"",IF(COUNT(H31:H36)&gt;0,L32-IF(I33="",0,I33),"")))</f>
        <v/>
      </c>
    </row>
    <row r="34" spans="2:12">
      <c r="B34" s="540">
        <v>16</v>
      </c>
      <c r="C34" s="551" t="str">
        <f t="shared" si="0"/>
        <v/>
      </c>
      <c r="D34" s="565" t="str">
        <f t="shared" si="2"/>
        <v/>
      </c>
      <c r="E34" s="574" t="str">
        <f t="shared" si="3"/>
        <v/>
      </c>
      <c r="F34" s="580" t="str">
        <f t="shared" si="4"/>
        <v/>
      </c>
      <c r="G34" s="580" t="str">
        <f t="shared" si="5"/>
        <v/>
      </c>
      <c r="H34" s="551" t="str">
        <f>IF(C34="","",IF(OR($D$9=2,$D$9=8),IF(AND(D$7&gt;0,ROUNDDOWN($D$14/6,0)&gt;=3),3,""),""))</f>
        <v/>
      </c>
      <c r="I34" s="565" t="str">
        <f t="shared" si="6"/>
        <v/>
      </c>
      <c r="J34" s="574" t="str">
        <f t="shared" si="7"/>
        <v/>
      </c>
      <c r="K34" s="580" t="str">
        <f t="shared" si="1"/>
        <v/>
      </c>
      <c r="L34" s="591" t="str">
        <f>IF(OR(L33=0,L33=""),"",IF(AND(H34="",C34=""),"",IF(COUNT(H31:H36)&gt;0,L33-IF(I34="",0,I34),"")))</f>
        <v/>
      </c>
    </row>
    <row r="35" spans="2:12">
      <c r="B35" s="540">
        <v>17</v>
      </c>
      <c r="C35" s="551" t="str">
        <f t="shared" si="0"/>
        <v/>
      </c>
      <c r="D35" s="565" t="str">
        <f t="shared" si="2"/>
        <v/>
      </c>
      <c r="E35" s="574" t="str">
        <f t="shared" si="3"/>
        <v/>
      </c>
      <c r="F35" s="580" t="str">
        <f t="shared" si="4"/>
        <v/>
      </c>
      <c r="G35" s="580" t="str">
        <f t="shared" si="5"/>
        <v/>
      </c>
      <c r="H35" s="551" t="str">
        <f>IF(C35="","",IF(OR($D$9=1,$D$9=7),IF(AND(D$7&gt;0,ROUNDDOWN($D$14/6,0)&gt;=3),3,""),""))</f>
        <v/>
      </c>
      <c r="I35" s="565" t="str">
        <f t="shared" si="6"/>
        <v/>
      </c>
      <c r="J35" s="574" t="str">
        <f t="shared" si="7"/>
        <v/>
      </c>
      <c r="K35" s="580" t="str">
        <f t="shared" si="1"/>
        <v/>
      </c>
      <c r="L35" s="591" t="str">
        <f>IF(OR(L34=0,L34=""),"",IF(AND(H35="",C35=""),"",IF(COUNT(H31:H36)&gt;0,L34-IF(I35="",0,I35),"")))</f>
        <v/>
      </c>
    </row>
    <row r="36" spans="2:12">
      <c r="B36" s="540">
        <v>18</v>
      </c>
      <c r="C36" s="552" t="str">
        <f t="shared" si="0"/>
        <v/>
      </c>
      <c r="D36" s="566" t="str">
        <f t="shared" si="2"/>
        <v/>
      </c>
      <c r="E36" s="575" t="str">
        <f t="shared" si="3"/>
        <v/>
      </c>
      <c r="F36" s="581" t="str">
        <f t="shared" si="4"/>
        <v/>
      </c>
      <c r="G36" s="581" t="str">
        <f t="shared" si="5"/>
        <v/>
      </c>
      <c r="H36" s="552" t="str">
        <f>IF(C36="","",IF(OR($D$9=12,$D$9=6),IF(AND(D$7&gt;0,ROUNDDOWN($D$14/6,0)&gt;=3),3,""),""))</f>
        <v/>
      </c>
      <c r="I36" s="566" t="str">
        <f t="shared" si="6"/>
        <v/>
      </c>
      <c r="J36" s="575" t="str">
        <f t="shared" si="7"/>
        <v/>
      </c>
      <c r="K36" s="581" t="str">
        <f t="shared" si="1"/>
        <v/>
      </c>
      <c r="L36" s="592" t="str">
        <f>IF(OR(L35=0,L35=""),"",IF(AND(H36="",C36=""),"",IF(COUNT(H31:H36)&gt;0,L35-IF(I36="",0,I36),"")))</f>
        <v/>
      </c>
    </row>
    <row r="37" spans="2:12">
      <c r="B37" s="540">
        <v>19</v>
      </c>
      <c r="C37" s="551" t="str">
        <f t="shared" si="0"/>
        <v/>
      </c>
      <c r="D37" s="565" t="str">
        <f t="shared" si="2"/>
        <v/>
      </c>
      <c r="E37" s="574" t="str">
        <f t="shared" si="3"/>
        <v/>
      </c>
      <c r="F37" s="580" t="str">
        <f t="shared" si="4"/>
        <v/>
      </c>
      <c r="G37" s="580" t="str">
        <f t="shared" si="5"/>
        <v/>
      </c>
      <c r="H37" s="553" t="str">
        <f>IF(C37="","",IF(OR($D$9=5,$D$9=11),IF(AND(D$7&gt;0,ROUNDDOWN($D$14/6,0)&gt;=4),4,""),""))</f>
        <v/>
      </c>
      <c r="I37" s="565" t="str">
        <f t="shared" si="6"/>
        <v/>
      </c>
      <c r="J37" s="574" t="str">
        <f t="shared" si="7"/>
        <v/>
      </c>
      <c r="K37" s="580" t="str">
        <f t="shared" si="1"/>
        <v/>
      </c>
      <c r="L37" s="591" t="str">
        <f>IF(OR(L36=0,L36=""),"",IF(AND(H37="",C37=""),"",IF(COUNT(H37:H42)&gt;0,L36-IF(I37="",0,I37),"")))</f>
        <v/>
      </c>
    </row>
    <row r="38" spans="2:12">
      <c r="B38" s="540">
        <v>20</v>
      </c>
      <c r="C38" s="551" t="str">
        <f t="shared" si="0"/>
        <v/>
      </c>
      <c r="D38" s="565" t="str">
        <f t="shared" si="2"/>
        <v/>
      </c>
      <c r="E38" s="574" t="str">
        <f t="shared" si="3"/>
        <v/>
      </c>
      <c r="F38" s="580" t="str">
        <f t="shared" si="4"/>
        <v/>
      </c>
      <c r="G38" s="580" t="str">
        <f t="shared" si="5"/>
        <v/>
      </c>
      <c r="H38" s="551" t="str">
        <f>IF(C38="","",IF(OR($D$9=4,$D$9=10),IF(AND(D$7&gt;0,ROUNDDOWN($D$14/6,0)&gt;=4),4,""),""))</f>
        <v/>
      </c>
      <c r="I38" s="565" t="str">
        <f t="shared" si="6"/>
        <v/>
      </c>
      <c r="J38" s="574" t="str">
        <f t="shared" si="7"/>
        <v/>
      </c>
      <c r="K38" s="580" t="str">
        <f t="shared" si="1"/>
        <v/>
      </c>
      <c r="L38" s="591" t="str">
        <f>IF(OR(L37=0,L37=""),"",IF(AND(H38="",C38=""),"",IF(COUNT(H37:H42)&gt;0,L37-IF(I38="",0,I38),"")))</f>
        <v/>
      </c>
    </row>
    <row r="39" spans="2:12">
      <c r="B39" s="540">
        <v>21</v>
      </c>
      <c r="C39" s="551" t="str">
        <f t="shared" si="0"/>
        <v/>
      </c>
      <c r="D39" s="565" t="str">
        <f t="shared" si="2"/>
        <v/>
      </c>
      <c r="E39" s="574" t="str">
        <f t="shared" si="3"/>
        <v/>
      </c>
      <c r="F39" s="580" t="str">
        <f t="shared" si="4"/>
        <v/>
      </c>
      <c r="G39" s="580" t="str">
        <f t="shared" si="5"/>
        <v/>
      </c>
      <c r="H39" s="551" t="str">
        <f>IF(C39="","",IF(OR($D$9=3,$D$9=9),IF(AND(D$7&gt;0,ROUNDDOWN($D$14/6,0)&gt;=4),4,""),""))</f>
        <v/>
      </c>
      <c r="I39" s="565" t="str">
        <f t="shared" si="6"/>
        <v/>
      </c>
      <c r="J39" s="574" t="str">
        <f t="shared" si="7"/>
        <v/>
      </c>
      <c r="K39" s="580" t="str">
        <f t="shared" si="1"/>
        <v/>
      </c>
      <c r="L39" s="591" t="str">
        <f>IF(OR(L38=0,L38=""),"",IF(AND(H39="",C39=""),"",IF(COUNT(H37:H42)&gt;0,L38-IF(I39="",0,I39),"")))</f>
        <v/>
      </c>
    </row>
    <row r="40" spans="2:12">
      <c r="B40" s="540">
        <v>22</v>
      </c>
      <c r="C40" s="551" t="str">
        <f t="shared" si="0"/>
        <v/>
      </c>
      <c r="D40" s="565" t="str">
        <f t="shared" si="2"/>
        <v/>
      </c>
      <c r="E40" s="574" t="str">
        <f t="shared" si="3"/>
        <v/>
      </c>
      <c r="F40" s="580" t="str">
        <f t="shared" si="4"/>
        <v/>
      </c>
      <c r="G40" s="580" t="str">
        <f t="shared" si="5"/>
        <v/>
      </c>
      <c r="H40" s="551" t="str">
        <f>IF(C40="","",IF(OR($D$9=2,$D$9=8),IF(AND(D$7&gt;0,ROUNDDOWN($D$14/6,0)&gt;=4),4,""),""))</f>
        <v/>
      </c>
      <c r="I40" s="565" t="str">
        <f t="shared" si="6"/>
        <v/>
      </c>
      <c r="J40" s="574" t="str">
        <f t="shared" si="7"/>
        <v/>
      </c>
      <c r="K40" s="580" t="str">
        <f t="shared" si="1"/>
        <v/>
      </c>
      <c r="L40" s="591" t="str">
        <f>IF(OR(L39=0,L39=""),"",IF(AND(H40="",C40=""),"",IF(COUNT(H37:H42)&gt;0,L39-IF(I40="",0,I40),"")))</f>
        <v/>
      </c>
    </row>
    <row r="41" spans="2:12">
      <c r="B41" s="540">
        <v>23</v>
      </c>
      <c r="C41" s="551" t="str">
        <f t="shared" si="0"/>
        <v/>
      </c>
      <c r="D41" s="565" t="str">
        <f t="shared" si="2"/>
        <v/>
      </c>
      <c r="E41" s="574" t="str">
        <f t="shared" si="3"/>
        <v/>
      </c>
      <c r="F41" s="580" t="str">
        <f t="shared" si="4"/>
        <v/>
      </c>
      <c r="G41" s="580" t="str">
        <f t="shared" si="5"/>
        <v/>
      </c>
      <c r="H41" s="551" t="str">
        <f>IF(C41="","",IF(OR($D$9=1,$D$9=7),IF(AND(D$7&gt;0,ROUNDDOWN($D$14/6,0)&gt;=4),4,""),""))</f>
        <v/>
      </c>
      <c r="I41" s="565" t="str">
        <f t="shared" si="6"/>
        <v/>
      </c>
      <c r="J41" s="574" t="str">
        <f t="shared" si="7"/>
        <v/>
      </c>
      <c r="K41" s="580" t="str">
        <f t="shared" si="1"/>
        <v/>
      </c>
      <c r="L41" s="591" t="str">
        <f>IF(OR(L40=0,L40=""),"",IF(AND(H41="",C41=""),"",IF(COUNT(H37:H42)&gt;0,L40-IF(I41="",0,I41),"")))</f>
        <v/>
      </c>
    </row>
    <row r="42" spans="2:12">
      <c r="B42" s="540">
        <v>24</v>
      </c>
      <c r="C42" s="551" t="str">
        <f t="shared" si="0"/>
        <v/>
      </c>
      <c r="D42" s="565" t="str">
        <f t="shared" si="2"/>
        <v/>
      </c>
      <c r="E42" s="574" t="str">
        <f t="shared" si="3"/>
        <v/>
      </c>
      <c r="F42" s="580" t="str">
        <f t="shared" si="4"/>
        <v/>
      </c>
      <c r="G42" s="580" t="str">
        <f t="shared" si="5"/>
        <v/>
      </c>
      <c r="H42" s="552" t="str">
        <f>IF(C42="","",IF(OR($D$9=12,$D$9=6),IF(AND(D$7&gt;0,ROUNDDOWN($D$14/6,0)&gt;=4),4,""),""))</f>
        <v/>
      </c>
      <c r="I42" s="565" t="str">
        <f t="shared" si="6"/>
        <v/>
      </c>
      <c r="J42" s="574" t="str">
        <f t="shared" si="7"/>
        <v/>
      </c>
      <c r="K42" s="580" t="str">
        <f t="shared" si="1"/>
        <v/>
      </c>
      <c r="L42" s="591" t="str">
        <f>IF(OR(L41=0,L41=""),"",IF(AND(H42="",C42=""),"",IF(COUNT(H37:H42)&gt;0,L41-IF(I42="",0,I42),"")))</f>
        <v/>
      </c>
    </row>
    <row r="43" spans="2:12">
      <c r="B43" s="540">
        <v>25</v>
      </c>
      <c r="C43" s="553" t="str">
        <f t="shared" si="0"/>
        <v/>
      </c>
      <c r="D43" s="567" t="str">
        <f t="shared" si="2"/>
        <v/>
      </c>
      <c r="E43" s="576" t="str">
        <f t="shared" si="3"/>
        <v/>
      </c>
      <c r="F43" s="582" t="str">
        <f t="shared" si="4"/>
        <v/>
      </c>
      <c r="G43" s="582" t="str">
        <f t="shared" si="5"/>
        <v/>
      </c>
      <c r="H43" s="553" t="str">
        <f>IF(C43="","",IF(OR($D$9=5,$D$9=11),IF(AND(D$7&gt;0,ROUNDDOWN($D$14/6,0)&gt;=5),5,""),""))</f>
        <v/>
      </c>
      <c r="I43" s="567" t="str">
        <f t="shared" si="6"/>
        <v/>
      </c>
      <c r="J43" s="576" t="str">
        <f t="shared" si="7"/>
        <v/>
      </c>
      <c r="K43" s="582" t="str">
        <f t="shared" si="1"/>
        <v/>
      </c>
      <c r="L43" s="593" t="str">
        <f>IF(OR(L42=0,L42=""),"",IF(AND(H43="",C43=""),"",IF(COUNT(H43:H48)&gt;0,L42-IF(I43="",0,I43),"")))</f>
        <v/>
      </c>
    </row>
    <row r="44" spans="2:12">
      <c r="B44" s="540">
        <v>26</v>
      </c>
      <c r="C44" s="551" t="str">
        <f t="shared" si="0"/>
        <v/>
      </c>
      <c r="D44" s="565" t="str">
        <f t="shared" si="2"/>
        <v/>
      </c>
      <c r="E44" s="574" t="str">
        <f t="shared" si="3"/>
        <v/>
      </c>
      <c r="F44" s="580" t="str">
        <f t="shared" si="4"/>
        <v/>
      </c>
      <c r="G44" s="580" t="str">
        <f t="shared" si="5"/>
        <v/>
      </c>
      <c r="H44" s="551" t="str">
        <f>IF(C44="","",IF(OR($D$9=4,$D$9=10),IF(AND(D$7&gt;0,ROUNDDOWN($D$14/6,0)&gt;=5),5,""),""))</f>
        <v/>
      </c>
      <c r="I44" s="565" t="str">
        <f t="shared" si="6"/>
        <v/>
      </c>
      <c r="J44" s="574" t="str">
        <f t="shared" si="7"/>
        <v/>
      </c>
      <c r="K44" s="580" t="str">
        <f t="shared" si="1"/>
        <v/>
      </c>
      <c r="L44" s="591" t="str">
        <f>IF(OR(L43=0,L43=""),"",IF(AND(H44="",C44=""),"",IF(COUNT(H43:H48)&gt;0,L43-IF(I44="",0,I44),"")))</f>
        <v/>
      </c>
    </row>
    <row r="45" spans="2:12">
      <c r="B45" s="540">
        <v>27</v>
      </c>
      <c r="C45" s="551" t="str">
        <f t="shared" si="0"/>
        <v/>
      </c>
      <c r="D45" s="565" t="str">
        <f t="shared" si="2"/>
        <v/>
      </c>
      <c r="E45" s="574" t="str">
        <f t="shared" si="3"/>
        <v/>
      </c>
      <c r="F45" s="580" t="str">
        <f t="shared" si="4"/>
        <v/>
      </c>
      <c r="G45" s="580" t="str">
        <f t="shared" si="5"/>
        <v/>
      </c>
      <c r="H45" s="551" t="str">
        <f>IF(C45="","",IF(OR($D$9=3,$D$9=9),IF(AND(D$7&gt;0,ROUNDDOWN($D$14/6,0)&gt;=5),5,""),""))</f>
        <v/>
      </c>
      <c r="I45" s="565" t="str">
        <f t="shared" si="6"/>
        <v/>
      </c>
      <c r="J45" s="574" t="str">
        <f t="shared" si="7"/>
        <v/>
      </c>
      <c r="K45" s="580" t="str">
        <f t="shared" si="1"/>
        <v/>
      </c>
      <c r="L45" s="591" t="str">
        <f>IF(OR(L44=0,L44=""),"",IF(AND(H45="",C45=""),"",IF(COUNT(H43:H48)&gt;0,L44-IF(I45="",0,I45),"")))</f>
        <v/>
      </c>
    </row>
    <row r="46" spans="2:12">
      <c r="B46" s="540">
        <v>28</v>
      </c>
      <c r="C46" s="551" t="str">
        <f t="shared" si="0"/>
        <v/>
      </c>
      <c r="D46" s="565" t="str">
        <f t="shared" si="2"/>
        <v/>
      </c>
      <c r="E46" s="574" t="str">
        <f t="shared" si="3"/>
        <v/>
      </c>
      <c r="F46" s="580" t="str">
        <f t="shared" si="4"/>
        <v/>
      </c>
      <c r="G46" s="580" t="str">
        <f t="shared" si="5"/>
        <v/>
      </c>
      <c r="H46" s="551" t="str">
        <f>IF(C46="","",IF(OR($D$9=2,$D$9=8),IF(AND(D$7&gt;0,ROUNDDOWN($D$14/6,0)&gt;=5),5,""),""))</f>
        <v/>
      </c>
      <c r="I46" s="565" t="str">
        <f t="shared" si="6"/>
        <v/>
      </c>
      <c r="J46" s="574" t="str">
        <f t="shared" si="7"/>
        <v/>
      </c>
      <c r="K46" s="580" t="str">
        <f t="shared" si="1"/>
        <v/>
      </c>
      <c r="L46" s="591" t="str">
        <f>IF(OR(L45=0,L45=""),"",IF(AND(H46="",C46=""),"",IF(COUNT(H43:H48)&gt;0,L45-IF(I46="",0,I46),"")))</f>
        <v/>
      </c>
    </row>
    <row r="47" spans="2:12">
      <c r="B47" s="540">
        <v>29</v>
      </c>
      <c r="C47" s="551" t="str">
        <f t="shared" si="0"/>
        <v/>
      </c>
      <c r="D47" s="565" t="str">
        <f t="shared" si="2"/>
        <v/>
      </c>
      <c r="E47" s="574" t="str">
        <f t="shared" si="3"/>
        <v/>
      </c>
      <c r="F47" s="580" t="str">
        <f t="shared" si="4"/>
        <v/>
      </c>
      <c r="G47" s="580" t="str">
        <f t="shared" si="5"/>
        <v/>
      </c>
      <c r="H47" s="551" t="str">
        <f>IF(C47="","",IF(OR($D$9=1,$D$9=7),IF(AND(D$7&gt;0,ROUNDDOWN($D$14/6,0)&gt;=5),5,""),""))</f>
        <v/>
      </c>
      <c r="I47" s="565" t="str">
        <f t="shared" si="6"/>
        <v/>
      </c>
      <c r="J47" s="574" t="str">
        <f t="shared" si="7"/>
        <v/>
      </c>
      <c r="K47" s="580" t="str">
        <f t="shared" si="1"/>
        <v/>
      </c>
      <c r="L47" s="591" t="str">
        <f>IF(OR(L46=0,L46=""),"",IF(AND(H47="",C47=""),"",IF(COUNT(H43:H48)&gt;0,L46-IF(I47="",0,I47),"")))</f>
        <v/>
      </c>
    </row>
    <row r="48" spans="2:12">
      <c r="B48" s="540">
        <v>30</v>
      </c>
      <c r="C48" s="552" t="str">
        <f t="shared" si="0"/>
        <v/>
      </c>
      <c r="D48" s="566" t="str">
        <f t="shared" si="2"/>
        <v/>
      </c>
      <c r="E48" s="575" t="str">
        <f t="shared" si="3"/>
        <v/>
      </c>
      <c r="F48" s="581" t="str">
        <f t="shared" si="4"/>
        <v/>
      </c>
      <c r="G48" s="581" t="str">
        <f t="shared" si="5"/>
        <v/>
      </c>
      <c r="H48" s="552" t="str">
        <f>IF(C48="","",IF(OR($D$9=12,$D$9=6),IF(AND(D$7&gt;0,ROUNDDOWN($D$14/6,0)&gt;=5),5,""),""))</f>
        <v/>
      </c>
      <c r="I48" s="566" t="str">
        <f t="shared" si="6"/>
        <v/>
      </c>
      <c r="J48" s="575" t="str">
        <f t="shared" si="7"/>
        <v/>
      </c>
      <c r="K48" s="581" t="str">
        <f t="shared" si="1"/>
        <v/>
      </c>
      <c r="L48" s="592" t="str">
        <f>IF(OR(L47=0,L47=""),"",IF(AND(H48="",C48=""),"",IF(COUNT(H43:H48)&gt;0,L47-IF(I48="",0,I48),"")))</f>
        <v/>
      </c>
    </row>
    <row r="49" spans="2:12">
      <c r="B49" s="540">
        <v>31</v>
      </c>
      <c r="C49" s="551" t="str">
        <f t="shared" si="0"/>
        <v/>
      </c>
      <c r="D49" s="565" t="str">
        <f t="shared" si="2"/>
        <v/>
      </c>
      <c r="E49" s="574" t="str">
        <f t="shared" si="3"/>
        <v/>
      </c>
      <c r="F49" s="580" t="str">
        <f t="shared" si="4"/>
        <v/>
      </c>
      <c r="G49" s="580" t="str">
        <f t="shared" si="5"/>
        <v/>
      </c>
      <c r="H49" s="551" t="str">
        <f>IF(C49="","",IF(OR($D$9=5,$D$9=11),IF(AND(D$7&gt;0,ROUNDDOWN($D$14/6,0)&gt;=6),6,""),""))</f>
        <v/>
      </c>
      <c r="I49" s="565" t="str">
        <f t="shared" si="6"/>
        <v/>
      </c>
      <c r="J49" s="574" t="str">
        <f t="shared" si="7"/>
        <v/>
      </c>
      <c r="K49" s="580" t="str">
        <f t="shared" si="1"/>
        <v/>
      </c>
      <c r="L49" s="591" t="str">
        <f>IF(OR(L48=0,L48=""),"",IF(AND(H49="",C49=""),"",IF(COUNT(H49:H54)&gt;0,L48-IF(I49="",0,I49),"")))</f>
        <v/>
      </c>
    </row>
    <row r="50" spans="2:12">
      <c r="B50" s="540">
        <v>32</v>
      </c>
      <c r="C50" s="551" t="str">
        <f t="shared" si="0"/>
        <v/>
      </c>
      <c r="D50" s="565" t="str">
        <f t="shared" si="2"/>
        <v/>
      </c>
      <c r="E50" s="574" t="str">
        <f t="shared" si="3"/>
        <v/>
      </c>
      <c r="F50" s="580" t="str">
        <f t="shared" si="4"/>
        <v/>
      </c>
      <c r="G50" s="580" t="str">
        <f t="shared" si="5"/>
        <v/>
      </c>
      <c r="H50" s="551" t="str">
        <f>IF(C50="","",IF(OR($D$9=4,$D$9=10),IF(AND(D$7&gt;0,ROUNDDOWN($D$14/6,0)&gt;=6),6,""),""))</f>
        <v/>
      </c>
      <c r="I50" s="565" t="str">
        <f t="shared" si="6"/>
        <v/>
      </c>
      <c r="J50" s="574" t="str">
        <f t="shared" si="7"/>
        <v/>
      </c>
      <c r="K50" s="580" t="str">
        <f t="shared" si="1"/>
        <v/>
      </c>
      <c r="L50" s="591" t="str">
        <f>IF(OR(L49=0,L49=""),"",IF(AND(H50="",C50=""),"",IF(COUNT(H49:H54)&gt;0,L49-IF(I50="",0,I50),"")))</f>
        <v/>
      </c>
    </row>
    <row r="51" spans="2:12">
      <c r="B51" s="540">
        <v>33</v>
      </c>
      <c r="C51" s="551" t="str">
        <f t="shared" si="0"/>
        <v/>
      </c>
      <c r="D51" s="565" t="str">
        <f t="shared" si="2"/>
        <v/>
      </c>
      <c r="E51" s="574" t="str">
        <f t="shared" si="3"/>
        <v/>
      </c>
      <c r="F51" s="580" t="str">
        <f t="shared" si="4"/>
        <v/>
      </c>
      <c r="G51" s="580" t="str">
        <f t="shared" si="5"/>
        <v/>
      </c>
      <c r="H51" s="551" t="str">
        <f>IF(C51="","",IF(OR($D$9=3,$D$9=9),IF(AND(D$7&gt;0,ROUNDDOWN($D$14/6,0)&gt;=6),6,""),""))</f>
        <v/>
      </c>
      <c r="I51" s="565" t="str">
        <f t="shared" si="6"/>
        <v/>
      </c>
      <c r="J51" s="574" t="str">
        <f t="shared" si="7"/>
        <v/>
      </c>
      <c r="K51" s="580" t="str">
        <f t="shared" si="1"/>
        <v/>
      </c>
      <c r="L51" s="591" t="str">
        <f>IF(OR(L50=0,L50=""),"",IF(AND(H51="",C51=""),"",IF(COUNT(H49:H54)&gt;0,L50-IF(I51="",0,I51),"")))</f>
        <v/>
      </c>
    </row>
    <row r="52" spans="2:12">
      <c r="B52" s="540">
        <v>34</v>
      </c>
      <c r="C52" s="551" t="str">
        <f t="shared" si="0"/>
        <v/>
      </c>
      <c r="D52" s="565" t="str">
        <f t="shared" si="2"/>
        <v/>
      </c>
      <c r="E52" s="574" t="str">
        <f t="shared" si="3"/>
        <v/>
      </c>
      <c r="F52" s="580" t="str">
        <f t="shared" si="4"/>
        <v/>
      </c>
      <c r="G52" s="580" t="str">
        <f t="shared" si="5"/>
        <v/>
      </c>
      <c r="H52" s="551" t="str">
        <f>IF(C52="","",IF(OR($D$9=2,$D$9=8),IF(AND(D$7&gt;0,ROUNDDOWN($D$14/6,0)&gt;=6),6,""),""))</f>
        <v/>
      </c>
      <c r="I52" s="565" t="str">
        <f t="shared" si="6"/>
        <v/>
      </c>
      <c r="J52" s="574" t="str">
        <f t="shared" si="7"/>
        <v/>
      </c>
      <c r="K52" s="580" t="str">
        <f t="shared" si="1"/>
        <v/>
      </c>
      <c r="L52" s="591" t="str">
        <f>IF(OR(L51=0,L51=""),"",IF(AND(H52="",C52=""),"",IF(COUNT(H49:H54)&gt;0,L51-IF(I52="",0,I52),"")))</f>
        <v/>
      </c>
    </row>
    <row r="53" spans="2:12">
      <c r="B53" s="540">
        <v>35</v>
      </c>
      <c r="C53" s="551" t="str">
        <f t="shared" si="0"/>
        <v/>
      </c>
      <c r="D53" s="565" t="str">
        <f t="shared" si="2"/>
        <v/>
      </c>
      <c r="E53" s="574" t="str">
        <f t="shared" si="3"/>
        <v/>
      </c>
      <c r="F53" s="580" t="str">
        <f t="shared" si="4"/>
        <v/>
      </c>
      <c r="G53" s="580" t="str">
        <f t="shared" si="5"/>
        <v/>
      </c>
      <c r="H53" s="551" t="str">
        <f>IF(C53="","",IF(OR($D$9=1,$D$9=7),IF(AND(D$7&gt;0,ROUNDDOWN($D$14/6,0)&gt;=6),6,""),""))</f>
        <v/>
      </c>
      <c r="I53" s="565" t="str">
        <f t="shared" si="6"/>
        <v/>
      </c>
      <c r="J53" s="574" t="str">
        <f t="shared" si="7"/>
        <v/>
      </c>
      <c r="K53" s="580" t="str">
        <f t="shared" si="1"/>
        <v/>
      </c>
      <c r="L53" s="591" t="str">
        <f>IF(OR(L52=0,L52=""),"",IF(AND(H53="",C53=""),"",IF(COUNT(H49:H54)&gt;0,L52-IF(I53="",0,I53),"")))</f>
        <v/>
      </c>
    </row>
    <row r="54" spans="2:12">
      <c r="B54" s="540">
        <v>36</v>
      </c>
      <c r="C54" s="551" t="str">
        <f t="shared" si="0"/>
        <v/>
      </c>
      <c r="D54" s="565" t="str">
        <f t="shared" si="2"/>
        <v/>
      </c>
      <c r="E54" s="574" t="str">
        <f t="shared" si="3"/>
        <v/>
      </c>
      <c r="F54" s="580" t="str">
        <f t="shared" si="4"/>
        <v/>
      </c>
      <c r="G54" s="580" t="str">
        <f t="shared" si="5"/>
        <v/>
      </c>
      <c r="H54" s="551" t="str">
        <f>IF(C54="","",IF(OR($D$9=12,$D$9=6),IF(AND(D$7&gt;0,ROUNDDOWN($D$14/6,0)&gt;=6),6,""),""))</f>
        <v/>
      </c>
      <c r="I54" s="565" t="str">
        <f t="shared" si="6"/>
        <v/>
      </c>
      <c r="J54" s="574" t="str">
        <f t="shared" si="7"/>
        <v/>
      </c>
      <c r="K54" s="580" t="str">
        <f t="shared" si="1"/>
        <v/>
      </c>
      <c r="L54" s="591" t="str">
        <f>IF(OR(L53=0,L53=""),"",IF(AND(H54="",C54=""),"",IF(COUNT(H49:H54)&gt;0,L53-IF(I54="",0,I54),"")))</f>
        <v/>
      </c>
    </row>
    <row r="55" spans="2:12">
      <c r="B55" s="540">
        <v>37</v>
      </c>
      <c r="C55" s="553" t="str">
        <f t="shared" si="0"/>
        <v/>
      </c>
      <c r="D55" s="567" t="str">
        <f t="shared" si="2"/>
        <v/>
      </c>
      <c r="E55" s="576" t="str">
        <f t="shared" si="3"/>
        <v/>
      </c>
      <c r="F55" s="582" t="str">
        <f t="shared" si="4"/>
        <v/>
      </c>
      <c r="G55" s="582" t="str">
        <f t="shared" si="5"/>
        <v/>
      </c>
      <c r="H55" s="553" t="str">
        <f>IF(C55="","",IF(OR($D$9=5,$D$9=11),IF(AND(D$7&gt;0,ROUNDDOWN($D$14/6,0)&gt;=7),7,""),""))</f>
        <v/>
      </c>
      <c r="I55" s="567" t="str">
        <f t="shared" si="6"/>
        <v/>
      </c>
      <c r="J55" s="576" t="str">
        <f t="shared" si="7"/>
        <v/>
      </c>
      <c r="K55" s="582" t="str">
        <f t="shared" si="1"/>
        <v/>
      </c>
      <c r="L55" s="593" t="str">
        <f>IF(OR(L54=0,L54=""),"",IF(AND(H55="",C55=""),"",IF(COUNT(H55:H60)&gt;0,L54-IF(I55="",0,I55),"")))</f>
        <v/>
      </c>
    </row>
    <row r="56" spans="2:12">
      <c r="B56" s="540">
        <v>38</v>
      </c>
      <c r="C56" s="551" t="str">
        <f t="shared" si="0"/>
        <v/>
      </c>
      <c r="D56" s="565" t="str">
        <f t="shared" si="2"/>
        <v/>
      </c>
      <c r="E56" s="574" t="str">
        <f t="shared" si="3"/>
        <v/>
      </c>
      <c r="F56" s="580" t="str">
        <f t="shared" si="4"/>
        <v/>
      </c>
      <c r="G56" s="580" t="str">
        <f t="shared" si="5"/>
        <v/>
      </c>
      <c r="H56" s="551" t="str">
        <f>IF(C56="","",IF(OR($D$9=4,$D$9=10),IF(AND(D$7&gt;0,ROUNDDOWN($D$14/6,0)&gt;=7),7,""),""))</f>
        <v/>
      </c>
      <c r="I56" s="565" t="str">
        <f t="shared" si="6"/>
        <v/>
      </c>
      <c r="J56" s="574" t="str">
        <f t="shared" si="7"/>
        <v/>
      </c>
      <c r="K56" s="580" t="str">
        <f t="shared" si="1"/>
        <v/>
      </c>
      <c r="L56" s="591" t="str">
        <f>IF(OR(L55=0,L55=""),"",IF(AND(H56="",C56=""),"",IF(COUNT(H55:H60)&gt;0,L55-IF(I56="",0,I56),"")))</f>
        <v/>
      </c>
    </row>
    <row r="57" spans="2:12">
      <c r="B57" s="540">
        <v>39</v>
      </c>
      <c r="C57" s="551" t="str">
        <f t="shared" si="0"/>
        <v/>
      </c>
      <c r="D57" s="565" t="str">
        <f t="shared" si="2"/>
        <v/>
      </c>
      <c r="E57" s="574" t="str">
        <f t="shared" si="3"/>
        <v/>
      </c>
      <c r="F57" s="580" t="str">
        <f t="shared" si="4"/>
        <v/>
      </c>
      <c r="G57" s="580" t="str">
        <f t="shared" si="5"/>
        <v/>
      </c>
      <c r="H57" s="551" t="str">
        <f>IF(C57="","",IF(OR($D$9=3,$D$9=9),IF(AND(D$7&gt;0,ROUNDDOWN($D$14/6,0)&gt;=7),7,""),""))</f>
        <v/>
      </c>
      <c r="I57" s="565" t="str">
        <f t="shared" si="6"/>
        <v/>
      </c>
      <c r="J57" s="574" t="str">
        <f t="shared" si="7"/>
        <v/>
      </c>
      <c r="K57" s="580" t="str">
        <f t="shared" si="1"/>
        <v/>
      </c>
      <c r="L57" s="591" t="str">
        <f>IF(OR(L56=0,L56=""),"",IF(AND(H57="",C57=""),"",IF(COUNT(H55:H60)&gt;0,L56-IF(I57="",0,I57),"")))</f>
        <v/>
      </c>
    </row>
    <row r="58" spans="2:12">
      <c r="B58" s="540">
        <v>40</v>
      </c>
      <c r="C58" s="551" t="str">
        <f t="shared" si="0"/>
        <v/>
      </c>
      <c r="D58" s="565" t="str">
        <f t="shared" si="2"/>
        <v/>
      </c>
      <c r="E58" s="574" t="str">
        <f t="shared" si="3"/>
        <v/>
      </c>
      <c r="F58" s="580" t="str">
        <f t="shared" si="4"/>
        <v/>
      </c>
      <c r="G58" s="580" t="str">
        <f t="shared" si="5"/>
        <v/>
      </c>
      <c r="H58" s="551" t="str">
        <f>IF(C58="","",IF(OR($D$9=2,$D$9=8),IF(AND(D$7&gt;0,ROUNDDOWN($D$14/6,0)&gt;=7),7,""),""))</f>
        <v/>
      </c>
      <c r="I58" s="565" t="str">
        <f t="shared" si="6"/>
        <v/>
      </c>
      <c r="J58" s="574" t="str">
        <f t="shared" si="7"/>
        <v/>
      </c>
      <c r="K58" s="580" t="str">
        <f t="shared" si="1"/>
        <v/>
      </c>
      <c r="L58" s="591" t="str">
        <f>IF(OR(L57=0,L57=""),"",IF(AND(H58="",C58=""),"",IF(COUNT(H55:H60)&gt;0,L57-IF(I58="",0,I58),"")))</f>
        <v/>
      </c>
    </row>
    <row r="59" spans="2:12">
      <c r="B59" s="540">
        <v>41</v>
      </c>
      <c r="C59" s="551" t="str">
        <f t="shared" si="0"/>
        <v/>
      </c>
      <c r="D59" s="565" t="str">
        <f t="shared" si="2"/>
        <v/>
      </c>
      <c r="E59" s="574" t="str">
        <f t="shared" si="3"/>
        <v/>
      </c>
      <c r="F59" s="580" t="str">
        <f t="shared" si="4"/>
        <v/>
      </c>
      <c r="G59" s="580" t="str">
        <f t="shared" si="5"/>
        <v/>
      </c>
      <c r="H59" s="551" t="str">
        <f>IF(C59="","",IF(OR($D$9=1,$D$9=7),IF(AND(D$7&gt;0,ROUNDDOWN($D$14/6,0)&gt;=7),7,""),""))</f>
        <v/>
      </c>
      <c r="I59" s="565" t="str">
        <f t="shared" si="6"/>
        <v/>
      </c>
      <c r="J59" s="574" t="str">
        <f t="shared" si="7"/>
        <v/>
      </c>
      <c r="K59" s="580" t="str">
        <f t="shared" si="1"/>
        <v/>
      </c>
      <c r="L59" s="591" t="str">
        <f>IF(OR(L58=0,L58=""),"",IF(AND(H59="",C59=""),"",IF(COUNT(H55:H60)&gt;0,L58-IF(I59="",0,I59),"")))</f>
        <v/>
      </c>
    </row>
    <row r="60" spans="2:12">
      <c r="B60" s="540">
        <v>42</v>
      </c>
      <c r="C60" s="552" t="str">
        <f t="shared" si="0"/>
        <v/>
      </c>
      <c r="D60" s="566" t="str">
        <f t="shared" si="2"/>
        <v/>
      </c>
      <c r="E60" s="575" t="str">
        <f t="shared" si="3"/>
        <v/>
      </c>
      <c r="F60" s="581" t="str">
        <f t="shared" si="4"/>
        <v/>
      </c>
      <c r="G60" s="581" t="str">
        <f t="shared" si="5"/>
        <v/>
      </c>
      <c r="H60" s="552" t="str">
        <f>IF(C60="","",IF(OR($D$9=12,$D$9=6),IF(AND(D$7&gt;0,ROUNDDOWN($D$14/6,0)&gt;=7),7,""),""))</f>
        <v/>
      </c>
      <c r="I60" s="566" t="str">
        <f t="shared" si="6"/>
        <v/>
      </c>
      <c r="J60" s="575" t="str">
        <f t="shared" si="7"/>
        <v/>
      </c>
      <c r="K60" s="581" t="str">
        <f t="shared" si="1"/>
        <v/>
      </c>
      <c r="L60" s="592" t="str">
        <f>IF(OR(L59=0,L59=""),"",IF(AND(H60="",C60=""),"",IF(COUNT(H55:H60)&gt;0,L59-IF(I60="",0,I60),"")))</f>
        <v/>
      </c>
    </row>
    <row r="61" spans="2:12">
      <c r="B61" s="540">
        <v>43</v>
      </c>
      <c r="C61" s="551" t="str">
        <f t="shared" si="0"/>
        <v/>
      </c>
      <c r="D61" s="565" t="str">
        <f t="shared" si="2"/>
        <v/>
      </c>
      <c r="E61" s="574" t="str">
        <f t="shared" si="3"/>
        <v/>
      </c>
      <c r="F61" s="580" t="str">
        <f t="shared" si="4"/>
        <v/>
      </c>
      <c r="G61" s="580" t="str">
        <f t="shared" si="5"/>
        <v/>
      </c>
      <c r="H61" s="551" t="str">
        <f>IF(C61="","",IF(OR($D$9=5,$D$9=11),IF(AND(D$7&gt;0,ROUNDDOWN($D$14/6,0)&gt;=8),8,""),""))</f>
        <v/>
      </c>
      <c r="I61" s="565" t="str">
        <f t="shared" si="6"/>
        <v/>
      </c>
      <c r="J61" s="574" t="str">
        <f t="shared" si="7"/>
        <v/>
      </c>
      <c r="K61" s="580" t="str">
        <f t="shared" si="1"/>
        <v/>
      </c>
      <c r="L61" s="591" t="str">
        <f>IF(OR(L60=0,L60=""),"",IF(AND(H61="",C61=""),"",IF(COUNT(H61:H66)&gt;0,L60-IF(I61="",0,I61),"")))</f>
        <v/>
      </c>
    </row>
    <row r="62" spans="2:12">
      <c r="B62" s="540">
        <v>44</v>
      </c>
      <c r="C62" s="551" t="str">
        <f t="shared" si="0"/>
        <v/>
      </c>
      <c r="D62" s="565" t="str">
        <f t="shared" si="2"/>
        <v/>
      </c>
      <c r="E62" s="574" t="str">
        <f t="shared" si="3"/>
        <v/>
      </c>
      <c r="F62" s="580" t="str">
        <f t="shared" si="4"/>
        <v/>
      </c>
      <c r="G62" s="580" t="str">
        <f t="shared" si="5"/>
        <v/>
      </c>
      <c r="H62" s="551" t="str">
        <f>IF(C62="","",IF(OR($D$9=4,$D$9=10),IF(AND(D$7&gt;0,ROUNDDOWN($D$14/6,0)&gt;=8),8,""),""))</f>
        <v/>
      </c>
      <c r="I62" s="565" t="str">
        <f t="shared" si="6"/>
        <v/>
      </c>
      <c r="J62" s="574" t="str">
        <f t="shared" si="7"/>
        <v/>
      </c>
      <c r="K62" s="580" t="str">
        <f t="shared" si="1"/>
        <v/>
      </c>
      <c r="L62" s="591" t="str">
        <f>IF(OR(L61=0,L61=""),"",IF(AND(H62="",C62=""),"",IF(COUNT(H61:H66)&gt;0,L61-IF(I62="",0,I62),"")))</f>
        <v/>
      </c>
    </row>
    <row r="63" spans="2:12">
      <c r="B63" s="540">
        <v>45</v>
      </c>
      <c r="C63" s="551" t="str">
        <f t="shared" si="0"/>
        <v/>
      </c>
      <c r="D63" s="565" t="str">
        <f t="shared" si="2"/>
        <v/>
      </c>
      <c r="E63" s="574" t="str">
        <f t="shared" si="3"/>
        <v/>
      </c>
      <c r="F63" s="580" t="str">
        <f t="shared" si="4"/>
        <v/>
      </c>
      <c r="G63" s="580" t="str">
        <f t="shared" si="5"/>
        <v/>
      </c>
      <c r="H63" s="551" t="str">
        <f>IF(C63="","",IF(OR($D$9=3,$D$9=9),IF(AND(D$7&gt;0,ROUNDDOWN($D$14/6,0)&gt;=8),8,""),""))</f>
        <v/>
      </c>
      <c r="I63" s="565" t="str">
        <f t="shared" si="6"/>
        <v/>
      </c>
      <c r="J63" s="574" t="str">
        <f t="shared" si="7"/>
        <v/>
      </c>
      <c r="K63" s="580" t="str">
        <f t="shared" si="1"/>
        <v/>
      </c>
      <c r="L63" s="591" t="str">
        <f>IF(OR(L62=0,L62=""),"",IF(AND(H63="",C63=""),"",IF(COUNT(H61:H66)&gt;0,L62-IF(I63="",0,I63),"")))</f>
        <v/>
      </c>
    </row>
    <row r="64" spans="2:12">
      <c r="B64" s="540">
        <v>46</v>
      </c>
      <c r="C64" s="551" t="str">
        <f t="shared" si="0"/>
        <v/>
      </c>
      <c r="D64" s="565" t="str">
        <f t="shared" si="2"/>
        <v/>
      </c>
      <c r="E64" s="574" t="str">
        <f t="shared" si="3"/>
        <v/>
      </c>
      <c r="F64" s="580" t="str">
        <f t="shared" si="4"/>
        <v/>
      </c>
      <c r="G64" s="580" t="str">
        <f t="shared" si="5"/>
        <v/>
      </c>
      <c r="H64" s="551" t="str">
        <f>IF(C64="","",IF(OR($D$9=2,$D$9=8),IF(AND(D$7&gt;0,ROUNDDOWN($D$14/6,0)&gt;=8),8,""),""))</f>
        <v/>
      </c>
      <c r="I64" s="565" t="str">
        <f t="shared" si="6"/>
        <v/>
      </c>
      <c r="J64" s="574" t="str">
        <f t="shared" si="7"/>
        <v/>
      </c>
      <c r="K64" s="580" t="str">
        <f t="shared" si="1"/>
        <v/>
      </c>
      <c r="L64" s="591" t="str">
        <f>IF(OR(L63=0,L63=""),"",IF(AND(H64="",C64=""),"",IF(COUNT(H61:H66)&gt;0,L63-IF(I64="",0,I64),"")))</f>
        <v/>
      </c>
    </row>
    <row r="65" spans="2:12">
      <c r="B65" s="540">
        <v>47</v>
      </c>
      <c r="C65" s="551" t="str">
        <f t="shared" si="0"/>
        <v/>
      </c>
      <c r="D65" s="565" t="str">
        <f t="shared" si="2"/>
        <v/>
      </c>
      <c r="E65" s="574" t="str">
        <f t="shared" si="3"/>
        <v/>
      </c>
      <c r="F65" s="580" t="str">
        <f t="shared" si="4"/>
        <v/>
      </c>
      <c r="G65" s="580" t="str">
        <f t="shared" si="5"/>
        <v/>
      </c>
      <c r="H65" s="551" t="str">
        <f>IF(C65="","",IF(OR($D$9=1,$D$9=7),IF(AND(D$7&gt;0,ROUNDDOWN($D$14/6,0)&gt;=8),8,""),""))</f>
        <v/>
      </c>
      <c r="I65" s="565" t="str">
        <f t="shared" si="6"/>
        <v/>
      </c>
      <c r="J65" s="574" t="str">
        <f t="shared" si="7"/>
        <v/>
      </c>
      <c r="K65" s="580" t="str">
        <f t="shared" si="1"/>
        <v/>
      </c>
      <c r="L65" s="591" t="str">
        <f>IF(OR(L64=0,L64=""),"",IF(AND(H65="",C65=""),"",IF(COUNT(H61:H66)&gt;0,L64-IF(I65="",0,I65),"")))</f>
        <v/>
      </c>
    </row>
    <row r="66" spans="2:12">
      <c r="B66" s="540">
        <v>48</v>
      </c>
      <c r="C66" s="551" t="str">
        <f t="shared" si="0"/>
        <v/>
      </c>
      <c r="D66" s="565" t="str">
        <f t="shared" si="2"/>
        <v/>
      </c>
      <c r="E66" s="574" t="str">
        <f t="shared" si="3"/>
        <v/>
      </c>
      <c r="F66" s="580" t="str">
        <f t="shared" si="4"/>
        <v/>
      </c>
      <c r="G66" s="580" t="str">
        <f t="shared" si="5"/>
        <v/>
      </c>
      <c r="H66" s="551" t="str">
        <f>IF(C66="","",IF(OR($D$9=12,$D$9=6),IF(AND(D$7&gt;0,ROUNDDOWN($D$14/6,0)&gt;=8),8,""),""))</f>
        <v/>
      </c>
      <c r="I66" s="565" t="str">
        <f t="shared" si="6"/>
        <v/>
      </c>
      <c r="J66" s="574" t="str">
        <f t="shared" si="7"/>
        <v/>
      </c>
      <c r="K66" s="580" t="str">
        <f t="shared" si="1"/>
        <v/>
      </c>
      <c r="L66" s="591" t="str">
        <f>IF(OR(L65=0,L65=""),"",IF(AND(H66="",C66=""),"",IF(COUNT(H61:H66)&gt;0,L65-IF(I66="",0,I66),"")))</f>
        <v/>
      </c>
    </row>
    <row r="67" spans="2:12">
      <c r="B67" s="540">
        <v>49</v>
      </c>
      <c r="C67" s="553" t="str">
        <f t="shared" si="0"/>
        <v/>
      </c>
      <c r="D67" s="567" t="str">
        <f t="shared" si="2"/>
        <v/>
      </c>
      <c r="E67" s="576" t="str">
        <f t="shared" si="3"/>
        <v/>
      </c>
      <c r="F67" s="582" t="str">
        <f t="shared" si="4"/>
        <v/>
      </c>
      <c r="G67" s="582" t="str">
        <f t="shared" si="5"/>
        <v/>
      </c>
      <c r="H67" s="553" t="str">
        <f>IF(C67="","",IF(OR($D$9=5,$D$9=11),IF(AND(D$7&gt;0,ROUNDDOWN($D$14/6,0)&gt;=9),9,""),""))</f>
        <v/>
      </c>
      <c r="I67" s="567" t="str">
        <f t="shared" si="6"/>
        <v/>
      </c>
      <c r="J67" s="576" t="str">
        <f t="shared" si="7"/>
        <v/>
      </c>
      <c r="K67" s="582" t="str">
        <f t="shared" si="1"/>
        <v/>
      </c>
      <c r="L67" s="593" t="str">
        <f>IF(OR(L66=0,L66=""),"",IF(AND(H67="",C67=""),"",IF(COUNT(H67:H72)&gt;0,L66-IF(I67="",0,I67),"")))</f>
        <v/>
      </c>
    </row>
    <row r="68" spans="2:12">
      <c r="B68" s="540">
        <v>50</v>
      </c>
      <c r="C68" s="551" t="str">
        <f t="shared" si="0"/>
        <v/>
      </c>
      <c r="D68" s="565" t="str">
        <f t="shared" si="2"/>
        <v/>
      </c>
      <c r="E68" s="574" t="str">
        <f t="shared" si="3"/>
        <v/>
      </c>
      <c r="F68" s="580" t="str">
        <f t="shared" si="4"/>
        <v/>
      </c>
      <c r="G68" s="580" t="str">
        <f t="shared" si="5"/>
        <v/>
      </c>
      <c r="H68" s="551" t="str">
        <f>IF(C68="","",IF(OR($D$9=4,$D$9=10),IF(AND(D$7&gt;0,ROUNDDOWN($D$14/6,0)&gt;=9),9,""),""))</f>
        <v/>
      </c>
      <c r="I68" s="565" t="str">
        <f t="shared" si="6"/>
        <v/>
      </c>
      <c r="J68" s="574" t="str">
        <f t="shared" si="7"/>
        <v/>
      </c>
      <c r="K68" s="580" t="str">
        <f t="shared" si="1"/>
        <v/>
      </c>
      <c r="L68" s="591" t="str">
        <f>IF(OR(L67=0,L67=""),"",IF(AND(H68="",C68=""),"",IF(COUNT(H67:H72)&gt;0,L67-IF(I68="",0,I68),"")))</f>
        <v/>
      </c>
    </row>
    <row r="69" spans="2:12">
      <c r="B69" s="540">
        <v>51</v>
      </c>
      <c r="C69" s="551" t="str">
        <f t="shared" si="0"/>
        <v/>
      </c>
      <c r="D69" s="565" t="str">
        <f t="shared" si="2"/>
        <v/>
      </c>
      <c r="E69" s="574" t="str">
        <f t="shared" si="3"/>
        <v/>
      </c>
      <c r="F69" s="580" t="str">
        <f t="shared" si="4"/>
        <v/>
      </c>
      <c r="G69" s="580" t="str">
        <f t="shared" si="5"/>
        <v/>
      </c>
      <c r="H69" s="551" t="str">
        <f>IF(C69="","",IF(OR($D$9=3,$D$9=9),IF(AND(D$7&gt;0,ROUNDDOWN($D$14/6,0)&gt;=9),9,""),""))</f>
        <v/>
      </c>
      <c r="I69" s="565" t="str">
        <f t="shared" si="6"/>
        <v/>
      </c>
      <c r="J69" s="574" t="str">
        <f t="shared" si="7"/>
        <v/>
      </c>
      <c r="K69" s="580" t="str">
        <f t="shared" si="1"/>
        <v/>
      </c>
      <c r="L69" s="591" t="str">
        <f>IF(OR(L68=0,L68=""),"",IF(AND(H69="",C69=""),"",IF(COUNT(H67:H72)&gt;0,L68-IF(I69="",0,I69),"")))</f>
        <v/>
      </c>
    </row>
    <row r="70" spans="2:12">
      <c r="B70" s="540">
        <v>52</v>
      </c>
      <c r="C70" s="551" t="str">
        <f t="shared" si="0"/>
        <v/>
      </c>
      <c r="D70" s="565" t="str">
        <f t="shared" si="2"/>
        <v/>
      </c>
      <c r="E70" s="574" t="str">
        <f t="shared" si="3"/>
        <v/>
      </c>
      <c r="F70" s="580" t="str">
        <f t="shared" si="4"/>
        <v/>
      </c>
      <c r="G70" s="580" t="str">
        <f t="shared" si="5"/>
        <v/>
      </c>
      <c r="H70" s="551" t="str">
        <f>IF(C70="","",IF(OR($D$9=2,$D$9=8),IF(AND(D$7&gt;0,ROUNDDOWN($D$14/6,0)&gt;=9),9,""),""))</f>
        <v/>
      </c>
      <c r="I70" s="565" t="str">
        <f t="shared" si="6"/>
        <v/>
      </c>
      <c r="J70" s="574" t="str">
        <f t="shared" si="7"/>
        <v/>
      </c>
      <c r="K70" s="580" t="str">
        <f t="shared" si="1"/>
        <v/>
      </c>
      <c r="L70" s="591" t="str">
        <f>IF(OR(L69=0,L69=""),"",IF(AND(H70="",C70=""),"",IF(COUNT(H67:H72)&gt;0,L69-IF(I70="",0,I70),"")))</f>
        <v/>
      </c>
    </row>
    <row r="71" spans="2:12">
      <c r="B71" s="540">
        <v>53</v>
      </c>
      <c r="C71" s="551" t="str">
        <f t="shared" si="0"/>
        <v/>
      </c>
      <c r="D71" s="565" t="str">
        <f t="shared" si="2"/>
        <v/>
      </c>
      <c r="E71" s="574" t="str">
        <f t="shared" si="3"/>
        <v/>
      </c>
      <c r="F71" s="580" t="str">
        <f t="shared" si="4"/>
        <v/>
      </c>
      <c r="G71" s="580" t="str">
        <f t="shared" si="5"/>
        <v/>
      </c>
      <c r="H71" s="551" t="str">
        <f>IF(C71="","",IF(OR($D$9=1,$D$9=7),IF(AND(D$7&gt;0,ROUNDDOWN($D$14/6,0)&gt;=9),9,""),""))</f>
        <v/>
      </c>
      <c r="I71" s="565" t="str">
        <f t="shared" si="6"/>
        <v/>
      </c>
      <c r="J71" s="574" t="str">
        <f t="shared" si="7"/>
        <v/>
      </c>
      <c r="K71" s="580" t="str">
        <f t="shared" si="1"/>
        <v/>
      </c>
      <c r="L71" s="591" t="str">
        <f>IF(OR(L70=0,L70=""),"",IF(AND(H71="",C71=""),"",IF(COUNT(H67:H72)&gt;0,L70-IF(I71="",0,I71),"")))</f>
        <v/>
      </c>
    </row>
    <row r="72" spans="2:12">
      <c r="B72" s="540">
        <v>54</v>
      </c>
      <c r="C72" s="552" t="str">
        <f t="shared" si="0"/>
        <v/>
      </c>
      <c r="D72" s="566" t="str">
        <f t="shared" si="2"/>
        <v/>
      </c>
      <c r="E72" s="575" t="str">
        <f t="shared" si="3"/>
        <v/>
      </c>
      <c r="F72" s="581" t="str">
        <f t="shared" si="4"/>
        <v/>
      </c>
      <c r="G72" s="581" t="str">
        <f t="shared" si="5"/>
        <v/>
      </c>
      <c r="H72" s="552" t="str">
        <f>IF(C72="","",IF(OR($D$9=12,$D$9=6),IF(AND(D$7&gt;0,ROUNDDOWN($D$14/6,0)&gt;=9),9,""),""))</f>
        <v/>
      </c>
      <c r="I72" s="566" t="str">
        <f t="shared" si="6"/>
        <v/>
      </c>
      <c r="J72" s="575" t="str">
        <f t="shared" si="7"/>
        <v/>
      </c>
      <c r="K72" s="581" t="str">
        <f t="shared" si="1"/>
        <v/>
      </c>
      <c r="L72" s="592" t="str">
        <f>IF(OR(L71=0,L71=""),"",IF(AND(H72="",C72=""),"",IF(COUNT(H67:H72)&gt;0,L71-IF(I72="",0,I72),"")))</f>
        <v/>
      </c>
    </row>
    <row r="73" spans="2:12">
      <c r="B73" s="540">
        <v>55</v>
      </c>
      <c r="C73" s="551" t="str">
        <f t="shared" si="0"/>
        <v/>
      </c>
      <c r="D73" s="565" t="str">
        <f t="shared" si="2"/>
        <v/>
      </c>
      <c r="E73" s="574" t="str">
        <f t="shared" si="3"/>
        <v/>
      </c>
      <c r="F73" s="580" t="str">
        <f t="shared" si="4"/>
        <v/>
      </c>
      <c r="G73" s="580" t="str">
        <f t="shared" si="5"/>
        <v/>
      </c>
      <c r="H73" s="551" t="str">
        <f>IF(C73="","",IF(OR($D$9=5,$D$9=11),IF(AND(D$7&gt;0,ROUNDDOWN($D$14/6,0)&gt;=10),10,""),""))</f>
        <v/>
      </c>
      <c r="I73" s="565" t="str">
        <f t="shared" si="6"/>
        <v/>
      </c>
      <c r="J73" s="574" t="str">
        <f t="shared" si="7"/>
        <v/>
      </c>
      <c r="K73" s="580" t="str">
        <f t="shared" si="1"/>
        <v/>
      </c>
      <c r="L73" s="591" t="str">
        <f>IF(OR(L72=0,L72=""),"",IF(AND(H73="",C73=""),"",IF(COUNT(H73:H78)&gt;0,L72-IF(I73="",0,I73),"")))</f>
        <v/>
      </c>
    </row>
    <row r="74" spans="2:12">
      <c r="B74" s="540">
        <v>56</v>
      </c>
      <c r="C74" s="551" t="str">
        <f t="shared" si="0"/>
        <v/>
      </c>
      <c r="D74" s="565" t="str">
        <f t="shared" si="2"/>
        <v/>
      </c>
      <c r="E74" s="574" t="str">
        <f t="shared" si="3"/>
        <v/>
      </c>
      <c r="F74" s="580" t="str">
        <f t="shared" si="4"/>
        <v/>
      </c>
      <c r="G74" s="580" t="str">
        <f t="shared" si="5"/>
        <v/>
      </c>
      <c r="H74" s="551" t="str">
        <f>IF(C74="","",IF(OR($D$9=4,$D$9=10),IF(AND(D$7&gt;0,ROUNDDOWN($D$14/6,0)&gt;=10),10,""),""))</f>
        <v/>
      </c>
      <c r="I74" s="565" t="str">
        <f t="shared" si="6"/>
        <v/>
      </c>
      <c r="J74" s="574" t="str">
        <f t="shared" si="7"/>
        <v/>
      </c>
      <c r="K74" s="580" t="str">
        <f t="shared" si="1"/>
        <v/>
      </c>
      <c r="L74" s="591" t="str">
        <f>IF(OR(L73=0,L73=""),"",IF(AND(H74="",C74=""),"",IF(COUNT(H73:H78)&gt;0,L73-IF(I74="",0,I74),"")))</f>
        <v/>
      </c>
    </row>
    <row r="75" spans="2:12">
      <c r="B75" s="540">
        <v>57</v>
      </c>
      <c r="C75" s="551" t="str">
        <f t="shared" si="0"/>
        <v/>
      </c>
      <c r="D75" s="565" t="str">
        <f t="shared" si="2"/>
        <v/>
      </c>
      <c r="E75" s="574" t="str">
        <f t="shared" si="3"/>
        <v/>
      </c>
      <c r="F75" s="580" t="str">
        <f t="shared" si="4"/>
        <v/>
      </c>
      <c r="G75" s="580" t="str">
        <f t="shared" si="5"/>
        <v/>
      </c>
      <c r="H75" s="551" t="str">
        <f>IF(C75="","",IF(OR($D$9=3,$D$9=9),IF(AND(D$7&gt;0,ROUNDDOWN($D$14/6,0)&gt;=10),10,""),""))</f>
        <v/>
      </c>
      <c r="I75" s="565" t="str">
        <f t="shared" si="6"/>
        <v/>
      </c>
      <c r="J75" s="574" t="str">
        <f t="shared" si="7"/>
        <v/>
      </c>
      <c r="K75" s="580" t="str">
        <f t="shared" si="1"/>
        <v/>
      </c>
      <c r="L75" s="591" t="str">
        <f>IF(OR(L74=0,L74=""),"",IF(AND(H75="",C75=""),"",IF(COUNT(H73:H78)&gt;0,L74-IF(I75="",0,I75),"")))</f>
        <v/>
      </c>
    </row>
    <row r="76" spans="2:12">
      <c r="B76" s="540">
        <v>58</v>
      </c>
      <c r="C76" s="551" t="str">
        <f t="shared" si="0"/>
        <v/>
      </c>
      <c r="D76" s="565" t="str">
        <f t="shared" si="2"/>
        <v/>
      </c>
      <c r="E76" s="574" t="str">
        <f t="shared" si="3"/>
        <v/>
      </c>
      <c r="F76" s="580" t="str">
        <f t="shared" si="4"/>
        <v/>
      </c>
      <c r="G76" s="580" t="str">
        <f t="shared" si="5"/>
        <v/>
      </c>
      <c r="H76" s="551" t="str">
        <f>IF(C76="","",IF(OR($D$9=2,$D$9=8),IF(AND(D$7&gt;0,ROUNDDOWN($D$14/6,0)&gt;=10),10,""),""))</f>
        <v/>
      </c>
      <c r="I76" s="565" t="str">
        <f t="shared" si="6"/>
        <v/>
      </c>
      <c r="J76" s="574" t="str">
        <f t="shared" si="7"/>
        <v/>
      </c>
      <c r="K76" s="580" t="str">
        <f t="shared" si="1"/>
        <v/>
      </c>
      <c r="L76" s="591" t="str">
        <f>IF(OR(L75=0,L75=""),"",IF(AND(H76="",C76=""),"",IF(COUNT(H73:H78)&gt;0,L75-IF(I76="",0,I76),"")))</f>
        <v/>
      </c>
    </row>
    <row r="77" spans="2:12">
      <c r="B77" s="540">
        <v>59</v>
      </c>
      <c r="C77" s="551" t="str">
        <f t="shared" si="0"/>
        <v/>
      </c>
      <c r="D77" s="565" t="str">
        <f t="shared" si="2"/>
        <v/>
      </c>
      <c r="E77" s="574" t="str">
        <f t="shared" si="3"/>
        <v/>
      </c>
      <c r="F77" s="580" t="str">
        <f t="shared" si="4"/>
        <v/>
      </c>
      <c r="G77" s="580" t="str">
        <f t="shared" si="5"/>
        <v/>
      </c>
      <c r="H77" s="551" t="str">
        <f>IF(C77="","",IF(OR($D$9=1,$D$9=7),IF(AND(D$7&gt;0,ROUNDDOWN($D$14/6,0)&gt;=10),10,""),""))</f>
        <v/>
      </c>
      <c r="I77" s="565" t="str">
        <f t="shared" si="6"/>
        <v/>
      </c>
      <c r="J77" s="574" t="str">
        <f t="shared" si="7"/>
        <v/>
      </c>
      <c r="K77" s="580" t="str">
        <f t="shared" si="1"/>
        <v/>
      </c>
      <c r="L77" s="591" t="str">
        <f>IF(OR(L76=0,L76=""),"",IF(AND(H77="",C77=""),"",IF(COUNT(H73:H78)&gt;0,L76-IF(I77="",0,I77),"")))</f>
        <v/>
      </c>
    </row>
    <row r="78" spans="2:12">
      <c r="B78" s="540">
        <v>60</v>
      </c>
      <c r="C78" s="551" t="str">
        <f t="shared" si="0"/>
        <v/>
      </c>
      <c r="D78" s="565" t="str">
        <f t="shared" si="2"/>
        <v/>
      </c>
      <c r="E78" s="574" t="str">
        <f t="shared" si="3"/>
        <v/>
      </c>
      <c r="F78" s="580" t="str">
        <f t="shared" si="4"/>
        <v/>
      </c>
      <c r="G78" s="580" t="str">
        <f t="shared" si="5"/>
        <v/>
      </c>
      <c r="H78" s="551" t="str">
        <f>IF(C78="","",IF(OR($D$9=12,$D$9=6),IF(AND(D$7&gt;0,ROUNDDOWN($D$14/6,0)&gt;=10),10,""),""))</f>
        <v/>
      </c>
      <c r="I78" s="565" t="str">
        <f t="shared" si="6"/>
        <v/>
      </c>
      <c r="J78" s="574" t="str">
        <f t="shared" si="7"/>
        <v/>
      </c>
      <c r="K78" s="580" t="str">
        <f t="shared" si="1"/>
        <v/>
      </c>
      <c r="L78" s="591" t="str">
        <f>IF(OR(L77=0,L77=""),"",IF(AND(H78="",C78=""),"",IF(COUNT(H73:H78)&gt;0,L77-IF(I78="",0,I78),"")))</f>
        <v/>
      </c>
    </row>
    <row r="79" spans="2:12">
      <c r="B79" s="540">
        <v>61</v>
      </c>
      <c r="C79" s="553" t="str">
        <f t="shared" si="0"/>
        <v/>
      </c>
      <c r="D79" s="567" t="str">
        <f t="shared" si="2"/>
        <v/>
      </c>
      <c r="E79" s="576" t="str">
        <f t="shared" si="3"/>
        <v/>
      </c>
      <c r="F79" s="582" t="str">
        <f t="shared" si="4"/>
        <v/>
      </c>
      <c r="G79" s="582" t="str">
        <f t="shared" si="5"/>
        <v/>
      </c>
      <c r="H79" s="553" t="str">
        <f>IF(C79="","",IF(OR($D$9=5,$D$9=11),IF(AND(D$7&gt;0,ROUNDDOWN($D$14/6,0)&gt;=11),11,""),""))</f>
        <v/>
      </c>
      <c r="I79" s="567" t="str">
        <f t="shared" si="6"/>
        <v/>
      </c>
      <c r="J79" s="576" t="str">
        <f t="shared" si="7"/>
        <v/>
      </c>
      <c r="K79" s="582" t="str">
        <f t="shared" si="1"/>
        <v/>
      </c>
      <c r="L79" s="593" t="str">
        <f>IF(OR(L78=0,L78=""),"",IF(AND(H79="",C79=""),"",IF(COUNT(H79:H84)&gt;0,L78-IF(I79="",0,I79),"")))</f>
        <v/>
      </c>
    </row>
    <row r="80" spans="2:12">
      <c r="B80" s="540">
        <v>62</v>
      </c>
      <c r="C80" s="551" t="str">
        <f t="shared" si="0"/>
        <v/>
      </c>
      <c r="D80" s="565" t="str">
        <f t="shared" si="2"/>
        <v/>
      </c>
      <c r="E80" s="574" t="str">
        <f t="shared" si="3"/>
        <v/>
      </c>
      <c r="F80" s="580" t="str">
        <f t="shared" si="4"/>
        <v/>
      </c>
      <c r="G80" s="580" t="str">
        <f t="shared" si="5"/>
        <v/>
      </c>
      <c r="H80" s="551" t="str">
        <f>IF(C80="","",IF(OR($D$9=4,$D$9=10),IF(AND(D$7&gt;0,ROUNDDOWN($D$14/6,0)&gt;=11),11,""),""))</f>
        <v/>
      </c>
      <c r="I80" s="565" t="str">
        <f t="shared" si="6"/>
        <v/>
      </c>
      <c r="J80" s="574" t="str">
        <f t="shared" si="7"/>
        <v/>
      </c>
      <c r="K80" s="580" t="str">
        <f t="shared" si="1"/>
        <v/>
      </c>
      <c r="L80" s="591" t="str">
        <f>IF(OR(L79=0,L79=""),"",IF(AND(H80="",C80=""),"",IF(COUNT(H79:H84)&gt;0,L79-IF(I80="",0,I80),"")))</f>
        <v/>
      </c>
    </row>
    <row r="81" spans="2:12">
      <c r="B81" s="540">
        <v>63</v>
      </c>
      <c r="C81" s="551" t="str">
        <f t="shared" si="0"/>
        <v/>
      </c>
      <c r="D81" s="565" t="str">
        <f t="shared" si="2"/>
        <v/>
      </c>
      <c r="E81" s="574" t="str">
        <f t="shared" si="3"/>
        <v/>
      </c>
      <c r="F81" s="580" t="str">
        <f t="shared" si="4"/>
        <v/>
      </c>
      <c r="G81" s="580" t="str">
        <f t="shared" si="5"/>
        <v/>
      </c>
      <c r="H81" s="551" t="str">
        <f>IF(C81="","",IF(OR($D$9=3,$D$9=9),IF(AND(D$7&gt;0,ROUNDDOWN($D$14/6,0)&gt;=11),11,""),""))</f>
        <v/>
      </c>
      <c r="I81" s="565" t="str">
        <f t="shared" si="6"/>
        <v/>
      </c>
      <c r="J81" s="574" t="str">
        <f t="shared" si="7"/>
        <v/>
      </c>
      <c r="K81" s="580" t="str">
        <f t="shared" si="1"/>
        <v/>
      </c>
      <c r="L81" s="591" t="str">
        <f>IF(OR(L80=0,L80=""),"",IF(AND(H81="",C81=""),"",IF(COUNT(H79:H84)&gt;0,L80-IF(I81="",0,I81),"")))</f>
        <v/>
      </c>
    </row>
    <row r="82" spans="2:12">
      <c r="B82" s="540">
        <v>64</v>
      </c>
      <c r="C82" s="551" t="str">
        <f t="shared" si="0"/>
        <v/>
      </c>
      <c r="D82" s="565" t="str">
        <f t="shared" si="2"/>
        <v/>
      </c>
      <c r="E82" s="574" t="str">
        <f t="shared" si="3"/>
        <v/>
      </c>
      <c r="F82" s="580" t="str">
        <f t="shared" si="4"/>
        <v/>
      </c>
      <c r="G82" s="580" t="str">
        <f t="shared" si="5"/>
        <v/>
      </c>
      <c r="H82" s="551" t="str">
        <f>IF(C82="","",IF(OR($D$9=2,$D$9=8),IF(AND(D$7&gt;0,ROUNDDOWN($D$14/6,0)&gt;=11),11,""),""))</f>
        <v/>
      </c>
      <c r="I82" s="565" t="str">
        <f t="shared" si="6"/>
        <v/>
      </c>
      <c r="J82" s="574" t="str">
        <f t="shared" si="7"/>
        <v/>
      </c>
      <c r="K82" s="580" t="str">
        <f t="shared" si="1"/>
        <v/>
      </c>
      <c r="L82" s="591" t="str">
        <f>IF(OR(L81=0,L81=""),"",IF(AND(H82="",C82=""),"",IF(COUNT(H79:H84)&gt;0,L81-IF(I82="",0,I82),"")))</f>
        <v/>
      </c>
    </row>
    <row r="83" spans="2:12">
      <c r="B83" s="540">
        <v>65</v>
      </c>
      <c r="C83" s="551" t="str">
        <f t="shared" ref="C83:C146" si="8">IF($D$14&gt;=B83,B83,"")</f>
        <v/>
      </c>
      <c r="D83" s="565" t="str">
        <f t="shared" si="2"/>
        <v/>
      </c>
      <c r="E83" s="574" t="str">
        <f t="shared" si="3"/>
        <v/>
      </c>
      <c r="F83" s="580" t="str">
        <f t="shared" si="4"/>
        <v/>
      </c>
      <c r="G83" s="580" t="str">
        <f t="shared" si="5"/>
        <v/>
      </c>
      <c r="H83" s="551" t="str">
        <f>IF(C83="","",IF(OR($D$9=1,$D$9=7),IF(AND(D$7&gt;0,ROUNDDOWN($D$14/6,0)&gt;=11),11,""),""))</f>
        <v/>
      </c>
      <c r="I83" s="565" t="str">
        <f t="shared" si="6"/>
        <v/>
      </c>
      <c r="J83" s="574" t="str">
        <f t="shared" si="7"/>
        <v/>
      </c>
      <c r="K83" s="580" t="str">
        <f t="shared" ref="K83:K146" si="9">IF(H83="","",IF(H89="",I83+J83,$I$14))</f>
        <v/>
      </c>
      <c r="L83" s="591" t="str">
        <f>IF(OR(L82=0,L82=""),"",IF(AND(H83="",C83=""),"",IF(COUNT(H79:H84)&gt;0,L82-IF(I83="",0,I83),"")))</f>
        <v/>
      </c>
    </row>
    <row r="84" spans="2:12">
      <c r="B84" s="540">
        <v>66</v>
      </c>
      <c r="C84" s="552" t="str">
        <f t="shared" si="8"/>
        <v/>
      </c>
      <c r="D84" s="566" t="str">
        <f t="shared" ref="D84:D147" si="10">IF(C84="","",IF(C84=$D$14,G83,F84-E84))</f>
        <v/>
      </c>
      <c r="E84" s="575" t="str">
        <f t="shared" ref="E84:E147" si="11">IF(C84="","",ROUNDDOWN(G83*$D$13,0))</f>
        <v/>
      </c>
      <c r="F84" s="581" t="str">
        <f t="shared" ref="F84:F147" si="12">IF(C84="","",IF(C84=$D$14,G83+E84,ROUNDDOWN(PMT($D$13,$D$14,-$D$8),0)))</f>
        <v/>
      </c>
      <c r="G84" s="581" t="str">
        <f t="shared" ref="G84:G147" si="13">IF(C84="","",G83-D84)</f>
        <v/>
      </c>
      <c r="H84" s="552" t="str">
        <f>IF(C84="","",IF(OR($D$9=12,$D$9=6),IF(AND(D$7&gt;0,ROUNDDOWN($D$14/6,0)&gt;=11),11,""),""))</f>
        <v/>
      </c>
      <c r="I84" s="566" t="str">
        <f t="shared" ref="I84:I147" si="14">IF(H84="","",IF(H90="",L83,K84-J84))</f>
        <v/>
      </c>
      <c r="J84" s="575" t="str">
        <f t="shared" si="7"/>
        <v/>
      </c>
      <c r="K84" s="581" t="str">
        <f t="shared" si="9"/>
        <v/>
      </c>
      <c r="L84" s="592" t="str">
        <f>IF(OR(L83=0,L83=""),"",IF(AND(H84="",C84=""),"",IF(COUNT(H79:H84)&gt;0,L83-IF(I84="",0,I84),"")))</f>
        <v/>
      </c>
    </row>
    <row r="85" spans="2:12">
      <c r="B85" s="540">
        <v>67</v>
      </c>
      <c r="C85" s="551" t="str">
        <f t="shared" si="8"/>
        <v/>
      </c>
      <c r="D85" s="565" t="str">
        <f t="shared" si="10"/>
        <v/>
      </c>
      <c r="E85" s="574" t="str">
        <f t="shared" si="11"/>
        <v/>
      </c>
      <c r="F85" s="580" t="str">
        <f t="shared" si="12"/>
        <v/>
      </c>
      <c r="G85" s="580" t="str">
        <f t="shared" si="13"/>
        <v/>
      </c>
      <c r="H85" s="551" t="str">
        <f>IF(C85="","",IF(OR($D$9=5,$D$9=11),IF(AND(D$7&gt;0,ROUNDDOWN($D$14/6,0)&gt;=12),12,""),""))</f>
        <v/>
      </c>
      <c r="I85" s="565" t="str">
        <f t="shared" si="14"/>
        <v/>
      </c>
      <c r="J85" s="574" t="str">
        <f t="shared" si="7"/>
        <v/>
      </c>
      <c r="K85" s="580" t="str">
        <f t="shared" si="9"/>
        <v/>
      </c>
      <c r="L85" s="591" t="str">
        <f>IF(OR(L84=0,L84=""),"",IF(AND(H85="",C85=""),"",IF(COUNT(H85:H90)&gt;0,L84-IF(I85="",0,I85),"")))</f>
        <v/>
      </c>
    </row>
    <row r="86" spans="2:12">
      <c r="B86" s="540">
        <v>68</v>
      </c>
      <c r="C86" s="551" t="str">
        <f t="shared" si="8"/>
        <v/>
      </c>
      <c r="D86" s="565" t="str">
        <f t="shared" si="10"/>
        <v/>
      </c>
      <c r="E86" s="574" t="str">
        <f t="shared" si="11"/>
        <v/>
      </c>
      <c r="F86" s="580" t="str">
        <f t="shared" si="12"/>
        <v/>
      </c>
      <c r="G86" s="580" t="str">
        <f t="shared" si="13"/>
        <v/>
      </c>
      <c r="H86" s="551" t="str">
        <f>IF(C86="","",IF(OR($D$9=4,$D$9=10),IF(AND(D$7&gt;0,ROUNDDOWN($D$14/6,0)&gt;=12),12,""),""))</f>
        <v/>
      </c>
      <c r="I86" s="565" t="str">
        <f t="shared" si="14"/>
        <v/>
      </c>
      <c r="J86" s="574" t="str">
        <f t="shared" si="7"/>
        <v/>
      </c>
      <c r="K86" s="580" t="str">
        <f t="shared" si="9"/>
        <v/>
      </c>
      <c r="L86" s="591" t="str">
        <f>IF(OR(L85=0,L85=""),"",IF(AND(H86="",C86=""),"",IF(COUNT(H85:H90)&gt;0,L85-IF(I86="",0,I86),"")))</f>
        <v/>
      </c>
    </row>
    <row r="87" spans="2:12">
      <c r="B87" s="540">
        <v>69</v>
      </c>
      <c r="C87" s="551" t="str">
        <f t="shared" si="8"/>
        <v/>
      </c>
      <c r="D87" s="565" t="str">
        <f t="shared" si="10"/>
        <v/>
      </c>
      <c r="E87" s="574" t="str">
        <f t="shared" si="11"/>
        <v/>
      </c>
      <c r="F87" s="580" t="str">
        <f t="shared" si="12"/>
        <v/>
      </c>
      <c r="G87" s="580" t="str">
        <f t="shared" si="13"/>
        <v/>
      </c>
      <c r="H87" s="551" t="str">
        <f>IF(C87="","",IF(OR($D$9=3,$D$9=9),IF(AND(D$7&gt;0,ROUNDDOWN($D$14/6,0)&gt;=12),12,""),""))</f>
        <v/>
      </c>
      <c r="I87" s="565" t="str">
        <f t="shared" si="14"/>
        <v/>
      </c>
      <c r="J87" s="574" t="str">
        <f t="shared" si="7"/>
        <v/>
      </c>
      <c r="K87" s="580" t="str">
        <f t="shared" si="9"/>
        <v/>
      </c>
      <c r="L87" s="591" t="str">
        <f>IF(OR(L86=0,L86=""),"",IF(AND(H87="",C87=""),"",IF(COUNT(H85:H90)&gt;0,L86-IF(I87="",0,I87),"")))</f>
        <v/>
      </c>
    </row>
    <row r="88" spans="2:12">
      <c r="B88" s="540">
        <v>70</v>
      </c>
      <c r="C88" s="551" t="str">
        <f t="shared" si="8"/>
        <v/>
      </c>
      <c r="D88" s="565" t="str">
        <f t="shared" si="10"/>
        <v/>
      </c>
      <c r="E88" s="574" t="str">
        <f t="shared" si="11"/>
        <v/>
      </c>
      <c r="F88" s="580" t="str">
        <f t="shared" si="12"/>
        <v/>
      </c>
      <c r="G88" s="580" t="str">
        <f t="shared" si="13"/>
        <v/>
      </c>
      <c r="H88" s="551" t="str">
        <f>IF(C88="","",IF(OR($D$9=2,$D$9=8),IF(AND(D$7&gt;0,ROUNDDOWN($D$14/6,0)&gt;=12),12,""),""))</f>
        <v/>
      </c>
      <c r="I88" s="565" t="str">
        <f t="shared" si="14"/>
        <v/>
      </c>
      <c r="J88" s="574" t="str">
        <f t="shared" si="7"/>
        <v/>
      </c>
      <c r="K88" s="580" t="str">
        <f t="shared" si="9"/>
        <v/>
      </c>
      <c r="L88" s="591" t="str">
        <f>IF(OR(L87=0,L87=""),"",IF(AND(H88="",C88=""),"",IF(COUNT(H85:H90)&gt;0,L87-IF(I88="",0,I88),"")))</f>
        <v/>
      </c>
    </row>
    <row r="89" spans="2:12">
      <c r="B89" s="540">
        <v>71</v>
      </c>
      <c r="C89" s="551" t="str">
        <f t="shared" si="8"/>
        <v/>
      </c>
      <c r="D89" s="565" t="str">
        <f t="shared" si="10"/>
        <v/>
      </c>
      <c r="E89" s="574" t="str">
        <f t="shared" si="11"/>
        <v/>
      </c>
      <c r="F89" s="580" t="str">
        <f t="shared" si="12"/>
        <v/>
      </c>
      <c r="G89" s="580" t="str">
        <f t="shared" si="13"/>
        <v/>
      </c>
      <c r="H89" s="551" t="str">
        <f>IF(C89="","",IF(OR($D$9=1,$D$9=7),IF(AND(D$7&gt;0,ROUNDDOWN($D$14/6,0)&gt;=12),12,""),""))</f>
        <v/>
      </c>
      <c r="I89" s="565" t="str">
        <f t="shared" si="14"/>
        <v/>
      </c>
      <c r="J89" s="574" t="str">
        <f t="shared" ref="J89:J152" si="15">IF(H89="","",ROUNDDOWN(L88*$D$12,0))</f>
        <v/>
      </c>
      <c r="K89" s="580" t="str">
        <f t="shared" si="9"/>
        <v/>
      </c>
      <c r="L89" s="591" t="str">
        <f>IF(OR(L88=0,L88=""),"",IF(AND(H89="",C89=""),"",IF(COUNT(H85:H90)&gt;0,L88-IF(I89="",0,I89),"")))</f>
        <v/>
      </c>
    </row>
    <row r="90" spans="2:12">
      <c r="B90" s="540">
        <v>72</v>
      </c>
      <c r="C90" s="551" t="str">
        <f t="shared" si="8"/>
        <v/>
      </c>
      <c r="D90" s="565" t="str">
        <f t="shared" si="10"/>
        <v/>
      </c>
      <c r="E90" s="574" t="str">
        <f t="shared" si="11"/>
        <v/>
      </c>
      <c r="F90" s="580" t="str">
        <f t="shared" si="12"/>
        <v/>
      </c>
      <c r="G90" s="580" t="str">
        <f t="shared" si="13"/>
        <v/>
      </c>
      <c r="H90" s="551" t="str">
        <f>IF(C90="","",IF(OR($D$9=12,$D$9=6),IF(AND(D$7&gt;0,ROUNDDOWN($D$14/6,0)&gt;=12),12,""),""))</f>
        <v/>
      </c>
      <c r="I90" s="565" t="str">
        <f t="shared" si="14"/>
        <v/>
      </c>
      <c r="J90" s="574" t="str">
        <f t="shared" si="15"/>
        <v/>
      </c>
      <c r="K90" s="580" t="str">
        <f t="shared" si="9"/>
        <v/>
      </c>
      <c r="L90" s="591" t="str">
        <f>IF(OR(L89=0,L89=""),"",IF(AND(H90="",C90=""),"",IF(COUNT(H85:H90)&gt;0,L89-IF(I90="",0,I90),"")))</f>
        <v/>
      </c>
    </row>
    <row r="91" spans="2:12">
      <c r="B91" s="540">
        <v>73</v>
      </c>
      <c r="C91" s="553" t="str">
        <f t="shared" si="8"/>
        <v/>
      </c>
      <c r="D91" s="567" t="str">
        <f t="shared" si="10"/>
        <v/>
      </c>
      <c r="E91" s="576" t="str">
        <f t="shared" si="11"/>
        <v/>
      </c>
      <c r="F91" s="582" t="str">
        <f t="shared" si="12"/>
        <v/>
      </c>
      <c r="G91" s="582" t="str">
        <f t="shared" si="13"/>
        <v/>
      </c>
      <c r="H91" s="553" t="str">
        <f>IF(C91="","",IF(OR($D$9=5,$D$9=11),IF(AND(D$7&gt;0,ROUNDDOWN($D$14/6,0)&gt;=13),13,""),""))</f>
        <v/>
      </c>
      <c r="I91" s="567" t="str">
        <f t="shared" si="14"/>
        <v/>
      </c>
      <c r="J91" s="576" t="str">
        <f t="shared" si="15"/>
        <v/>
      </c>
      <c r="K91" s="582" t="str">
        <f t="shared" si="9"/>
        <v/>
      </c>
      <c r="L91" s="593" t="str">
        <f>IF(OR(L90=0,L90=""),"",IF(AND(H91="",C91=""),"",IF(COUNT(H91:H96)&gt;0,L90-IF(I91="",0,I91),"")))</f>
        <v/>
      </c>
    </row>
    <row r="92" spans="2:12">
      <c r="B92" s="540">
        <v>74</v>
      </c>
      <c r="C92" s="551" t="str">
        <f t="shared" si="8"/>
        <v/>
      </c>
      <c r="D92" s="565" t="str">
        <f t="shared" si="10"/>
        <v/>
      </c>
      <c r="E92" s="574" t="str">
        <f t="shared" si="11"/>
        <v/>
      </c>
      <c r="F92" s="580" t="str">
        <f t="shared" si="12"/>
        <v/>
      </c>
      <c r="G92" s="580" t="str">
        <f t="shared" si="13"/>
        <v/>
      </c>
      <c r="H92" s="551" t="str">
        <f>IF(C92="","",IF(OR($D$9=4,$D$9=10),IF(AND(D$7&gt;0,ROUNDDOWN($D$14/6,0)&gt;=13),13,""),""))</f>
        <v/>
      </c>
      <c r="I92" s="565" t="str">
        <f t="shared" si="14"/>
        <v/>
      </c>
      <c r="J92" s="574" t="str">
        <f t="shared" si="15"/>
        <v/>
      </c>
      <c r="K92" s="580" t="str">
        <f t="shared" si="9"/>
        <v/>
      </c>
      <c r="L92" s="591" t="str">
        <f>IF(OR(L91=0,L91=""),"",IF(AND(H92="",C92=""),"",IF(COUNT(H91:H96)&gt;0,L91-IF(I92="",0,I92),"")))</f>
        <v/>
      </c>
    </row>
    <row r="93" spans="2:12">
      <c r="B93" s="540">
        <v>75</v>
      </c>
      <c r="C93" s="551" t="str">
        <f t="shared" si="8"/>
        <v/>
      </c>
      <c r="D93" s="565" t="str">
        <f t="shared" si="10"/>
        <v/>
      </c>
      <c r="E93" s="574" t="str">
        <f t="shared" si="11"/>
        <v/>
      </c>
      <c r="F93" s="580" t="str">
        <f t="shared" si="12"/>
        <v/>
      </c>
      <c r="G93" s="580" t="str">
        <f t="shared" si="13"/>
        <v/>
      </c>
      <c r="H93" s="551" t="str">
        <f>IF(C93="","",IF(OR($D$9=3,$D$9=9),IF(AND(D$7&gt;0,ROUNDDOWN($D$14/6,0)&gt;=13),13,""),""))</f>
        <v/>
      </c>
      <c r="I93" s="565" t="str">
        <f t="shared" si="14"/>
        <v/>
      </c>
      <c r="J93" s="574" t="str">
        <f t="shared" si="15"/>
        <v/>
      </c>
      <c r="K93" s="580" t="str">
        <f t="shared" si="9"/>
        <v/>
      </c>
      <c r="L93" s="591" t="str">
        <f>IF(OR(L92=0,L92=""),"",IF(AND(H93="",C93=""),"",IF(COUNT(H91:H96)&gt;0,L92-IF(I93="",0,I93),"")))</f>
        <v/>
      </c>
    </row>
    <row r="94" spans="2:12">
      <c r="B94" s="540">
        <v>76</v>
      </c>
      <c r="C94" s="551" t="str">
        <f t="shared" si="8"/>
        <v/>
      </c>
      <c r="D94" s="565" t="str">
        <f t="shared" si="10"/>
        <v/>
      </c>
      <c r="E94" s="574" t="str">
        <f t="shared" si="11"/>
        <v/>
      </c>
      <c r="F94" s="580" t="str">
        <f t="shared" si="12"/>
        <v/>
      </c>
      <c r="G94" s="580" t="str">
        <f t="shared" si="13"/>
        <v/>
      </c>
      <c r="H94" s="551" t="str">
        <f>IF(C94="","",IF(OR($D$9=2,$D$9=8),IF(AND(D$7&gt;0,ROUNDDOWN($D$14/6,0)&gt;=13),13,""),""))</f>
        <v/>
      </c>
      <c r="I94" s="565" t="str">
        <f t="shared" si="14"/>
        <v/>
      </c>
      <c r="J94" s="574" t="str">
        <f t="shared" si="15"/>
        <v/>
      </c>
      <c r="K94" s="580" t="str">
        <f t="shared" si="9"/>
        <v/>
      </c>
      <c r="L94" s="591" t="str">
        <f>IF(OR(L93=0,L93=""),"",IF(AND(H94="",C94=""),"",IF(COUNT(H91:H96)&gt;0,L93-IF(I94="",0,I94),"")))</f>
        <v/>
      </c>
    </row>
    <row r="95" spans="2:12">
      <c r="B95" s="540">
        <v>77</v>
      </c>
      <c r="C95" s="551" t="str">
        <f t="shared" si="8"/>
        <v/>
      </c>
      <c r="D95" s="565" t="str">
        <f t="shared" si="10"/>
        <v/>
      </c>
      <c r="E95" s="574" t="str">
        <f t="shared" si="11"/>
        <v/>
      </c>
      <c r="F95" s="580" t="str">
        <f t="shared" si="12"/>
        <v/>
      </c>
      <c r="G95" s="580" t="str">
        <f t="shared" si="13"/>
        <v/>
      </c>
      <c r="H95" s="551" t="str">
        <f>IF(C95="","",IF(OR($D$9=1,$D$9=7),IF(AND(D$7&gt;0,ROUNDDOWN($D$14/6,0)&gt;=13),13,""),""))</f>
        <v/>
      </c>
      <c r="I95" s="565" t="str">
        <f t="shared" si="14"/>
        <v/>
      </c>
      <c r="J95" s="574" t="str">
        <f t="shared" si="15"/>
        <v/>
      </c>
      <c r="K95" s="580" t="str">
        <f t="shared" si="9"/>
        <v/>
      </c>
      <c r="L95" s="591" t="str">
        <f>IF(OR(L94=0,L94=""),"",IF(AND(H95="",C95=""),"",IF(COUNT(H91:H96)&gt;0,L94-IF(I95="",0,I95),"")))</f>
        <v/>
      </c>
    </row>
    <row r="96" spans="2:12">
      <c r="B96" s="540">
        <v>78</v>
      </c>
      <c r="C96" s="552" t="str">
        <f t="shared" si="8"/>
        <v/>
      </c>
      <c r="D96" s="566" t="str">
        <f t="shared" si="10"/>
        <v/>
      </c>
      <c r="E96" s="575" t="str">
        <f t="shared" si="11"/>
        <v/>
      </c>
      <c r="F96" s="581" t="str">
        <f t="shared" si="12"/>
        <v/>
      </c>
      <c r="G96" s="581" t="str">
        <f t="shared" si="13"/>
        <v/>
      </c>
      <c r="H96" s="552" t="str">
        <f>IF(C96="","",IF(OR($D$9=12,$D$9=6),IF(AND(D$7&gt;0,ROUNDDOWN($D$14/6,0)&gt;=13),13,""),""))</f>
        <v/>
      </c>
      <c r="I96" s="566" t="str">
        <f t="shared" si="14"/>
        <v/>
      </c>
      <c r="J96" s="575" t="str">
        <f t="shared" si="15"/>
        <v/>
      </c>
      <c r="K96" s="581" t="str">
        <f t="shared" si="9"/>
        <v/>
      </c>
      <c r="L96" s="592" t="str">
        <f>IF(OR(L95=0,L95=""),"",IF(AND(H96="",C96=""),"",IF(COUNT(H91:H96)&gt;0,L95-IF(I96="",0,I96),"")))</f>
        <v/>
      </c>
    </row>
    <row r="97" spans="2:12">
      <c r="B97" s="540">
        <v>79</v>
      </c>
      <c r="C97" s="551" t="str">
        <f t="shared" si="8"/>
        <v/>
      </c>
      <c r="D97" s="565" t="str">
        <f t="shared" si="10"/>
        <v/>
      </c>
      <c r="E97" s="574" t="str">
        <f t="shared" si="11"/>
        <v/>
      </c>
      <c r="F97" s="580" t="str">
        <f t="shared" si="12"/>
        <v/>
      </c>
      <c r="G97" s="580" t="str">
        <f t="shared" si="13"/>
        <v/>
      </c>
      <c r="H97" s="551" t="str">
        <f>IF(C97="","",IF(OR($D$9=5,$D$9=11),IF(AND(D$7&gt;0,ROUNDDOWN($D$14/6,0)&gt;=14),14,""),""))</f>
        <v/>
      </c>
      <c r="I97" s="565" t="str">
        <f t="shared" si="14"/>
        <v/>
      </c>
      <c r="J97" s="574" t="str">
        <f t="shared" si="15"/>
        <v/>
      </c>
      <c r="K97" s="580" t="str">
        <f t="shared" si="9"/>
        <v/>
      </c>
      <c r="L97" s="591" t="str">
        <f>IF(OR(L96=0,L96=""),"",IF(AND(H97="",C97=""),"",IF(COUNT(H97:H102)&gt;0,L96-IF(I97="",0,I97),"")))</f>
        <v/>
      </c>
    </row>
    <row r="98" spans="2:12">
      <c r="B98" s="540">
        <v>80</v>
      </c>
      <c r="C98" s="551" t="str">
        <f t="shared" si="8"/>
        <v/>
      </c>
      <c r="D98" s="565" t="str">
        <f t="shared" si="10"/>
        <v/>
      </c>
      <c r="E98" s="574" t="str">
        <f t="shared" si="11"/>
        <v/>
      </c>
      <c r="F98" s="580" t="str">
        <f t="shared" si="12"/>
        <v/>
      </c>
      <c r="G98" s="580" t="str">
        <f t="shared" si="13"/>
        <v/>
      </c>
      <c r="H98" s="551" t="str">
        <f>IF(C98="","",IF(OR($D$9=4,$D$9=10),IF(AND(D$7&gt;0,ROUNDDOWN($D$14/6,0)&gt;=14),14,""),""))</f>
        <v/>
      </c>
      <c r="I98" s="565" t="str">
        <f t="shared" si="14"/>
        <v/>
      </c>
      <c r="J98" s="574" t="str">
        <f t="shared" si="15"/>
        <v/>
      </c>
      <c r="K98" s="580" t="str">
        <f t="shared" si="9"/>
        <v/>
      </c>
      <c r="L98" s="591" t="str">
        <f>IF(OR(L97=0,L97=""),"",IF(AND(H98="",C98=""),"",IF(COUNT(H97:H102)&gt;0,L97-IF(I98="",0,I98),"")))</f>
        <v/>
      </c>
    </row>
    <row r="99" spans="2:12">
      <c r="B99" s="540">
        <v>81</v>
      </c>
      <c r="C99" s="551" t="str">
        <f t="shared" si="8"/>
        <v/>
      </c>
      <c r="D99" s="565" t="str">
        <f t="shared" si="10"/>
        <v/>
      </c>
      <c r="E99" s="574" t="str">
        <f t="shared" si="11"/>
        <v/>
      </c>
      <c r="F99" s="580" t="str">
        <f t="shared" si="12"/>
        <v/>
      </c>
      <c r="G99" s="580" t="str">
        <f t="shared" si="13"/>
        <v/>
      </c>
      <c r="H99" s="551" t="str">
        <f>IF(C99="","",IF(OR($D$9=3,$D$9=9),IF(AND(D$7&gt;0,ROUNDDOWN($D$14/6,0)&gt;=14),14,""),""))</f>
        <v/>
      </c>
      <c r="I99" s="565" t="str">
        <f t="shared" si="14"/>
        <v/>
      </c>
      <c r="J99" s="574" t="str">
        <f t="shared" si="15"/>
        <v/>
      </c>
      <c r="K99" s="580" t="str">
        <f t="shared" si="9"/>
        <v/>
      </c>
      <c r="L99" s="591" t="str">
        <f>IF(OR(L98=0,L98=""),"",IF(AND(H99="",C99=""),"",IF(COUNT(H97:H102)&gt;0,L98-IF(I99="",0,I99),"")))</f>
        <v/>
      </c>
    </row>
    <row r="100" spans="2:12">
      <c r="B100" s="540">
        <v>82</v>
      </c>
      <c r="C100" s="551" t="str">
        <f t="shared" si="8"/>
        <v/>
      </c>
      <c r="D100" s="565" t="str">
        <f t="shared" si="10"/>
        <v/>
      </c>
      <c r="E100" s="574" t="str">
        <f t="shared" si="11"/>
        <v/>
      </c>
      <c r="F100" s="580" t="str">
        <f t="shared" si="12"/>
        <v/>
      </c>
      <c r="G100" s="580" t="str">
        <f t="shared" si="13"/>
        <v/>
      </c>
      <c r="H100" s="551" t="str">
        <f>IF(C100="","",IF(OR($D$9=2,$D$9=8),IF(AND(D$7&gt;0,ROUNDDOWN($D$14/6,0)&gt;=14),14,""),""))</f>
        <v/>
      </c>
      <c r="I100" s="565" t="str">
        <f t="shared" si="14"/>
        <v/>
      </c>
      <c r="J100" s="574" t="str">
        <f t="shared" si="15"/>
        <v/>
      </c>
      <c r="K100" s="580" t="str">
        <f t="shared" si="9"/>
        <v/>
      </c>
      <c r="L100" s="591" t="str">
        <f>IF(OR(L99=0,L99=""),"",IF(AND(H100="",C100=""),"",IF(COUNT(H97:H102)&gt;0,L99-IF(I100="",0,I100),"")))</f>
        <v/>
      </c>
    </row>
    <row r="101" spans="2:12">
      <c r="B101" s="540">
        <v>83</v>
      </c>
      <c r="C101" s="551" t="str">
        <f t="shared" si="8"/>
        <v/>
      </c>
      <c r="D101" s="565" t="str">
        <f t="shared" si="10"/>
        <v/>
      </c>
      <c r="E101" s="574" t="str">
        <f t="shared" si="11"/>
        <v/>
      </c>
      <c r="F101" s="580" t="str">
        <f t="shared" si="12"/>
        <v/>
      </c>
      <c r="G101" s="580" t="str">
        <f t="shared" si="13"/>
        <v/>
      </c>
      <c r="H101" s="551" t="str">
        <f>IF(C101="","",IF(OR($D$9=1,$D$9=7),IF(AND(D$7&gt;0,ROUNDDOWN($D$14/6,0)&gt;=14),14,""),""))</f>
        <v/>
      </c>
      <c r="I101" s="565" t="str">
        <f t="shared" si="14"/>
        <v/>
      </c>
      <c r="J101" s="574" t="str">
        <f t="shared" si="15"/>
        <v/>
      </c>
      <c r="K101" s="580" t="str">
        <f t="shared" si="9"/>
        <v/>
      </c>
      <c r="L101" s="591" t="str">
        <f>IF(OR(L100=0,L100=""),"",IF(AND(H101="",C101=""),"",IF(COUNT(H97:H102)&gt;0,L100-IF(I101="",0,I101),"")))</f>
        <v/>
      </c>
    </row>
    <row r="102" spans="2:12">
      <c r="B102" s="540">
        <v>84</v>
      </c>
      <c r="C102" s="551" t="str">
        <f t="shared" si="8"/>
        <v/>
      </c>
      <c r="D102" s="565" t="str">
        <f t="shared" si="10"/>
        <v/>
      </c>
      <c r="E102" s="574" t="str">
        <f t="shared" si="11"/>
        <v/>
      </c>
      <c r="F102" s="580" t="str">
        <f t="shared" si="12"/>
        <v/>
      </c>
      <c r="G102" s="580" t="str">
        <f t="shared" si="13"/>
        <v/>
      </c>
      <c r="H102" s="551" t="str">
        <f>IF(C102="","",IF(OR($D$9=12,$D$9=6),IF(AND(D$7&gt;0,ROUNDDOWN($D$14/6,0)&gt;=14),14,""),""))</f>
        <v/>
      </c>
      <c r="I102" s="565" t="str">
        <f t="shared" si="14"/>
        <v/>
      </c>
      <c r="J102" s="574" t="str">
        <f t="shared" si="15"/>
        <v/>
      </c>
      <c r="K102" s="580" t="str">
        <f t="shared" si="9"/>
        <v/>
      </c>
      <c r="L102" s="591" t="str">
        <f>IF(OR(L101=0,L101=""),"",IF(AND(H102="",C102=""),"",IF(COUNT(H97:H102)&gt;0,L101-IF(I102="",0,I102),"")))</f>
        <v/>
      </c>
    </row>
    <row r="103" spans="2:12">
      <c r="B103" s="540">
        <v>85</v>
      </c>
      <c r="C103" s="553" t="str">
        <f t="shared" si="8"/>
        <v/>
      </c>
      <c r="D103" s="567" t="str">
        <f t="shared" si="10"/>
        <v/>
      </c>
      <c r="E103" s="576" t="str">
        <f t="shared" si="11"/>
        <v/>
      </c>
      <c r="F103" s="582" t="str">
        <f t="shared" si="12"/>
        <v/>
      </c>
      <c r="G103" s="582" t="str">
        <f t="shared" si="13"/>
        <v/>
      </c>
      <c r="H103" s="553" t="str">
        <f>IF(C103="","",IF(OR($D$9=5,$D$9=11),IF(AND(D$7&gt;0,ROUNDDOWN($D$14/6,0)&gt;=15),15,""),""))</f>
        <v/>
      </c>
      <c r="I103" s="567" t="str">
        <f t="shared" si="14"/>
        <v/>
      </c>
      <c r="J103" s="576" t="str">
        <f t="shared" si="15"/>
        <v/>
      </c>
      <c r="K103" s="582" t="str">
        <f t="shared" si="9"/>
        <v/>
      </c>
      <c r="L103" s="593" t="str">
        <f>IF(OR(L102=0,L102=""),"",IF(AND(H103="",C103=""),"",IF(COUNT(H103:H108)&gt;0,L102-IF(I103="",0,I103),"")))</f>
        <v/>
      </c>
    </row>
    <row r="104" spans="2:12">
      <c r="B104" s="540">
        <v>86</v>
      </c>
      <c r="C104" s="551" t="str">
        <f t="shared" si="8"/>
        <v/>
      </c>
      <c r="D104" s="565" t="str">
        <f t="shared" si="10"/>
        <v/>
      </c>
      <c r="E104" s="574" t="str">
        <f t="shared" si="11"/>
        <v/>
      </c>
      <c r="F104" s="580" t="str">
        <f t="shared" si="12"/>
        <v/>
      </c>
      <c r="G104" s="580" t="str">
        <f t="shared" si="13"/>
        <v/>
      </c>
      <c r="H104" s="551" t="str">
        <f>IF(C104="","",IF(OR($D$9=4,$D$9=10),IF(AND(D$7&gt;0,ROUNDDOWN($D$14/6,0)&gt;=15),15,""),""))</f>
        <v/>
      </c>
      <c r="I104" s="565" t="str">
        <f t="shared" si="14"/>
        <v/>
      </c>
      <c r="J104" s="574" t="str">
        <f t="shared" si="15"/>
        <v/>
      </c>
      <c r="K104" s="580" t="str">
        <f t="shared" si="9"/>
        <v/>
      </c>
      <c r="L104" s="591" t="str">
        <f>IF(OR(L103=0,L103=""),"",IF(AND(H104="",C104=""),"",IF(COUNT(H103:H108)&gt;0,L103-IF(I104="",0,I104),"")))</f>
        <v/>
      </c>
    </row>
    <row r="105" spans="2:12">
      <c r="B105" s="540">
        <v>87</v>
      </c>
      <c r="C105" s="551" t="str">
        <f t="shared" si="8"/>
        <v/>
      </c>
      <c r="D105" s="565" t="str">
        <f t="shared" si="10"/>
        <v/>
      </c>
      <c r="E105" s="574" t="str">
        <f t="shared" si="11"/>
        <v/>
      </c>
      <c r="F105" s="580" t="str">
        <f t="shared" si="12"/>
        <v/>
      </c>
      <c r="G105" s="580" t="str">
        <f t="shared" si="13"/>
        <v/>
      </c>
      <c r="H105" s="551" t="str">
        <f>IF(C105="","",IF(OR($D$9=3,$D$9=9),IF(AND(D$7&gt;0,ROUNDDOWN($D$14/6,0)&gt;=15),15,""),""))</f>
        <v/>
      </c>
      <c r="I105" s="565" t="str">
        <f t="shared" si="14"/>
        <v/>
      </c>
      <c r="J105" s="574" t="str">
        <f t="shared" si="15"/>
        <v/>
      </c>
      <c r="K105" s="580" t="str">
        <f t="shared" si="9"/>
        <v/>
      </c>
      <c r="L105" s="591" t="str">
        <f>IF(OR(L104=0,L104=""),"",IF(AND(H105="",C105=""),"",IF(COUNT(H103:H108)&gt;0,L104-IF(I105="",0,I105),"")))</f>
        <v/>
      </c>
    </row>
    <row r="106" spans="2:12">
      <c r="B106" s="540">
        <v>88</v>
      </c>
      <c r="C106" s="551" t="str">
        <f t="shared" si="8"/>
        <v/>
      </c>
      <c r="D106" s="565" t="str">
        <f t="shared" si="10"/>
        <v/>
      </c>
      <c r="E106" s="574" t="str">
        <f t="shared" si="11"/>
        <v/>
      </c>
      <c r="F106" s="580" t="str">
        <f t="shared" si="12"/>
        <v/>
      </c>
      <c r="G106" s="580" t="str">
        <f t="shared" si="13"/>
        <v/>
      </c>
      <c r="H106" s="551" t="str">
        <f>IF(C106="","",IF(OR($D$9=2,$D$9=8),IF(AND(D$7&gt;0,ROUNDDOWN($D$14/6,0)&gt;=15),15,""),""))</f>
        <v/>
      </c>
      <c r="I106" s="565" t="str">
        <f t="shared" si="14"/>
        <v/>
      </c>
      <c r="J106" s="574" t="str">
        <f t="shared" si="15"/>
        <v/>
      </c>
      <c r="K106" s="580" t="str">
        <f t="shared" si="9"/>
        <v/>
      </c>
      <c r="L106" s="591" t="str">
        <f>IF(OR(L105=0,L105=""),"",IF(AND(H106="",C106=""),"",IF(COUNT(H103:H108)&gt;0,L105-IF(I106="",0,I106),"")))</f>
        <v/>
      </c>
    </row>
    <row r="107" spans="2:12">
      <c r="B107" s="540">
        <v>89</v>
      </c>
      <c r="C107" s="551" t="str">
        <f t="shared" si="8"/>
        <v/>
      </c>
      <c r="D107" s="565" t="str">
        <f t="shared" si="10"/>
        <v/>
      </c>
      <c r="E107" s="574" t="str">
        <f t="shared" si="11"/>
        <v/>
      </c>
      <c r="F107" s="580" t="str">
        <f t="shared" si="12"/>
        <v/>
      </c>
      <c r="G107" s="580" t="str">
        <f t="shared" si="13"/>
        <v/>
      </c>
      <c r="H107" s="551" t="str">
        <f>IF(C107="","",IF(OR($D$9=1,$D$9=7),IF(AND(D$7&gt;0,ROUNDDOWN($D$14/6,0)&gt;=15),15,""),""))</f>
        <v/>
      </c>
      <c r="I107" s="565" t="str">
        <f t="shared" si="14"/>
        <v/>
      </c>
      <c r="J107" s="574" t="str">
        <f t="shared" si="15"/>
        <v/>
      </c>
      <c r="K107" s="580" t="str">
        <f t="shared" si="9"/>
        <v/>
      </c>
      <c r="L107" s="591" t="str">
        <f>IF(OR(L106=0,L106=""),"",IF(AND(H107="",C107=""),"",IF(COUNT(H103:H108)&gt;0,L106-IF(I107="",0,I107),"")))</f>
        <v/>
      </c>
    </row>
    <row r="108" spans="2:12">
      <c r="B108" s="540">
        <v>90</v>
      </c>
      <c r="C108" s="552" t="str">
        <f t="shared" si="8"/>
        <v/>
      </c>
      <c r="D108" s="566" t="str">
        <f t="shared" si="10"/>
        <v/>
      </c>
      <c r="E108" s="575" t="str">
        <f t="shared" si="11"/>
        <v/>
      </c>
      <c r="F108" s="581" t="str">
        <f t="shared" si="12"/>
        <v/>
      </c>
      <c r="G108" s="581" t="str">
        <f t="shared" si="13"/>
        <v/>
      </c>
      <c r="H108" s="552" t="str">
        <f>IF(C108="","",IF(OR($D$9=12,$D$9=6),IF(AND(D$7&gt;0,ROUNDDOWN($D$14/6,0)&gt;=15),15,""),""))</f>
        <v/>
      </c>
      <c r="I108" s="566" t="str">
        <f t="shared" si="14"/>
        <v/>
      </c>
      <c r="J108" s="575" t="str">
        <f t="shared" si="15"/>
        <v/>
      </c>
      <c r="K108" s="581" t="str">
        <f t="shared" si="9"/>
        <v/>
      </c>
      <c r="L108" s="592" t="str">
        <f>IF(OR(L107=0,L107=""),"",IF(AND(H108="",C108=""),"",IF(COUNT(H103:H108)&gt;0,L107-IF(I108="",0,I108),"")))</f>
        <v/>
      </c>
    </row>
    <row r="109" spans="2:12">
      <c r="B109" s="540">
        <v>91</v>
      </c>
      <c r="C109" s="551" t="str">
        <f t="shared" si="8"/>
        <v/>
      </c>
      <c r="D109" s="565" t="str">
        <f t="shared" si="10"/>
        <v/>
      </c>
      <c r="E109" s="574" t="str">
        <f t="shared" si="11"/>
        <v/>
      </c>
      <c r="F109" s="580" t="str">
        <f t="shared" si="12"/>
        <v/>
      </c>
      <c r="G109" s="580" t="str">
        <f t="shared" si="13"/>
        <v/>
      </c>
      <c r="H109" s="551" t="str">
        <f>IF(C109="","",IF(OR($D$9=5,$D$9=11),IF(AND(D$7&gt;0,ROUNDDOWN($D$14/6,0)&gt;=16),16,""),""))</f>
        <v/>
      </c>
      <c r="I109" s="565" t="str">
        <f t="shared" si="14"/>
        <v/>
      </c>
      <c r="J109" s="574" t="str">
        <f t="shared" si="15"/>
        <v/>
      </c>
      <c r="K109" s="580" t="str">
        <f t="shared" si="9"/>
        <v/>
      </c>
      <c r="L109" s="591" t="str">
        <f>IF(OR(L108=0,L108=""),"",IF(AND(H109="",C109=""),"",IF(COUNT(H109:H114)&gt;0,L108-IF(I109="",0,I109),"")))</f>
        <v/>
      </c>
    </row>
    <row r="110" spans="2:12">
      <c r="B110" s="540">
        <v>92</v>
      </c>
      <c r="C110" s="551" t="str">
        <f t="shared" si="8"/>
        <v/>
      </c>
      <c r="D110" s="565" t="str">
        <f t="shared" si="10"/>
        <v/>
      </c>
      <c r="E110" s="574" t="str">
        <f t="shared" si="11"/>
        <v/>
      </c>
      <c r="F110" s="580" t="str">
        <f t="shared" si="12"/>
        <v/>
      </c>
      <c r="G110" s="580" t="str">
        <f t="shared" si="13"/>
        <v/>
      </c>
      <c r="H110" s="551" t="str">
        <f>IF(C110="","",IF(OR($D$9=4,$D$9=10),IF(AND(D$7&gt;0,ROUNDDOWN($D$14/6,0)&gt;=16),16,""),""))</f>
        <v/>
      </c>
      <c r="I110" s="565" t="str">
        <f t="shared" si="14"/>
        <v/>
      </c>
      <c r="J110" s="574" t="str">
        <f t="shared" si="15"/>
        <v/>
      </c>
      <c r="K110" s="580" t="str">
        <f t="shared" si="9"/>
        <v/>
      </c>
      <c r="L110" s="591" t="str">
        <f>IF(OR(L109=0,L109=""),"",IF(AND(H110="",C110=""),"",IF(COUNT(H109:H114)&gt;0,L109-IF(I110="",0,I110),"")))</f>
        <v/>
      </c>
    </row>
    <row r="111" spans="2:12">
      <c r="B111" s="540">
        <v>93</v>
      </c>
      <c r="C111" s="551" t="str">
        <f t="shared" si="8"/>
        <v/>
      </c>
      <c r="D111" s="565" t="str">
        <f t="shared" si="10"/>
        <v/>
      </c>
      <c r="E111" s="574" t="str">
        <f t="shared" si="11"/>
        <v/>
      </c>
      <c r="F111" s="580" t="str">
        <f t="shared" si="12"/>
        <v/>
      </c>
      <c r="G111" s="580" t="str">
        <f t="shared" si="13"/>
        <v/>
      </c>
      <c r="H111" s="551" t="str">
        <f>IF(C111="","",IF(OR($D$9=3,$D$9=9),IF(AND(D$7&gt;0,ROUNDDOWN($D$14/6,0)&gt;=16),16,""),""))</f>
        <v/>
      </c>
      <c r="I111" s="565" t="str">
        <f t="shared" si="14"/>
        <v/>
      </c>
      <c r="J111" s="574" t="str">
        <f t="shared" si="15"/>
        <v/>
      </c>
      <c r="K111" s="580" t="str">
        <f t="shared" si="9"/>
        <v/>
      </c>
      <c r="L111" s="591" t="str">
        <f>IF(OR(L110=0,L110=""),"",IF(AND(H111="",C111=""),"",IF(COUNT(H109:H114)&gt;0,L110-IF(I111="",0,I111),"")))</f>
        <v/>
      </c>
    </row>
    <row r="112" spans="2:12">
      <c r="B112" s="540">
        <v>94</v>
      </c>
      <c r="C112" s="551" t="str">
        <f t="shared" si="8"/>
        <v/>
      </c>
      <c r="D112" s="565" t="str">
        <f t="shared" si="10"/>
        <v/>
      </c>
      <c r="E112" s="574" t="str">
        <f t="shared" si="11"/>
        <v/>
      </c>
      <c r="F112" s="580" t="str">
        <f t="shared" si="12"/>
        <v/>
      </c>
      <c r="G112" s="580" t="str">
        <f t="shared" si="13"/>
        <v/>
      </c>
      <c r="H112" s="551" t="str">
        <f>IF(C112="","",IF(OR($D$9=2,$D$9=8),IF(AND(D$7&gt;0,ROUNDDOWN($D$14/6,0)&gt;=16),16,""),""))</f>
        <v/>
      </c>
      <c r="I112" s="565" t="str">
        <f t="shared" si="14"/>
        <v/>
      </c>
      <c r="J112" s="574" t="str">
        <f t="shared" si="15"/>
        <v/>
      </c>
      <c r="K112" s="580" t="str">
        <f t="shared" si="9"/>
        <v/>
      </c>
      <c r="L112" s="591" t="str">
        <f>IF(OR(L111=0,L111=""),"",IF(AND(H112="",C112=""),"",IF(COUNT(H109:H114)&gt;0,L111-IF(I112="",0,I112),"")))</f>
        <v/>
      </c>
    </row>
    <row r="113" spans="2:12">
      <c r="B113" s="540">
        <v>95</v>
      </c>
      <c r="C113" s="551" t="str">
        <f t="shared" si="8"/>
        <v/>
      </c>
      <c r="D113" s="565" t="str">
        <f t="shared" si="10"/>
        <v/>
      </c>
      <c r="E113" s="574" t="str">
        <f t="shared" si="11"/>
        <v/>
      </c>
      <c r="F113" s="580" t="str">
        <f t="shared" si="12"/>
        <v/>
      </c>
      <c r="G113" s="580" t="str">
        <f t="shared" si="13"/>
        <v/>
      </c>
      <c r="H113" s="551" t="str">
        <f>IF(C113="","",IF(OR($D$9=1,$D$9=7),IF(AND(D$7&gt;0,ROUNDDOWN($D$14/6,0)&gt;=16),16,""),""))</f>
        <v/>
      </c>
      <c r="I113" s="565" t="str">
        <f t="shared" si="14"/>
        <v/>
      </c>
      <c r="J113" s="574" t="str">
        <f t="shared" si="15"/>
        <v/>
      </c>
      <c r="K113" s="580" t="str">
        <f t="shared" si="9"/>
        <v/>
      </c>
      <c r="L113" s="591" t="str">
        <f>IF(OR(L112=0,L112=""),"",IF(AND(H113="",C113=""),"",IF(COUNT(H109:H114)&gt;0,L112-IF(I113="",0,I113),"")))</f>
        <v/>
      </c>
    </row>
    <row r="114" spans="2:12">
      <c r="B114" s="540">
        <v>96</v>
      </c>
      <c r="C114" s="551" t="str">
        <f t="shared" si="8"/>
        <v/>
      </c>
      <c r="D114" s="565" t="str">
        <f t="shared" si="10"/>
        <v/>
      </c>
      <c r="E114" s="574" t="str">
        <f t="shared" si="11"/>
        <v/>
      </c>
      <c r="F114" s="580" t="str">
        <f t="shared" si="12"/>
        <v/>
      </c>
      <c r="G114" s="580" t="str">
        <f t="shared" si="13"/>
        <v/>
      </c>
      <c r="H114" s="551" t="str">
        <f>IF(C114="","",IF(OR($D$9=12,$D$9=6),IF(AND(D$7&gt;0,ROUNDDOWN($D$14/6,0)&gt;=16),16,""),""))</f>
        <v/>
      </c>
      <c r="I114" s="565" t="str">
        <f t="shared" si="14"/>
        <v/>
      </c>
      <c r="J114" s="574" t="str">
        <f t="shared" si="15"/>
        <v/>
      </c>
      <c r="K114" s="580" t="str">
        <f t="shared" si="9"/>
        <v/>
      </c>
      <c r="L114" s="591" t="str">
        <f>IF(OR(L113=0,L113=""),"",IF(AND(H114="",C114=""),"",IF(COUNT(H109:H114)&gt;0,L113-IF(I114="",0,I114),"")))</f>
        <v/>
      </c>
    </row>
    <row r="115" spans="2:12">
      <c r="B115" s="540">
        <v>97</v>
      </c>
      <c r="C115" s="553" t="str">
        <f t="shared" si="8"/>
        <v/>
      </c>
      <c r="D115" s="567" t="str">
        <f t="shared" si="10"/>
        <v/>
      </c>
      <c r="E115" s="576" t="str">
        <f t="shared" si="11"/>
        <v/>
      </c>
      <c r="F115" s="582" t="str">
        <f t="shared" si="12"/>
        <v/>
      </c>
      <c r="G115" s="582" t="str">
        <f t="shared" si="13"/>
        <v/>
      </c>
      <c r="H115" s="553" t="str">
        <f>IF(C115="","",IF(OR($D$9=5,$D$9=11),IF(AND(D$7&gt;0,ROUNDDOWN($D$14/6,0)&gt;=17),17,""),""))</f>
        <v/>
      </c>
      <c r="I115" s="567" t="str">
        <f t="shared" si="14"/>
        <v/>
      </c>
      <c r="J115" s="576" t="str">
        <f t="shared" si="15"/>
        <v/>
      </c>
      <c r="K115" s="582" t="str">
        <f t="shared" si="9"/>
        <v/>
      </c>
      <c r="L115" s="593" t="str">
        <f>IF(OR(L114=0,L114=""),"",IF(AND(H115="",C115=""),"",IF(COUNT(H115:H120)&gt;0,L114-IF(I115="",0,I115),"")))</f>
        <v/>
      </c>
    </row>
    <row r="116" spans="2:12">
      <c r="B116" s="540">
        <v>98</v>
      </c>
      <c r="C116" s="551" t="str">
        <f t="shared" si="8"/>
        <v/>
      </c>
      <c r="D116" s="565" t="str">
        <f t="shared" si="10"/>
        <v/>
      </c>
      <c r="E116" s="574" t="str">
        <f t="shared" si="11"/>
        <v/>
      </c>
      <c r="F116" s="580" t="str">
        <f t="shared" si="12"/>
        <v/>
      </c>
      <c r="G116" s="580" t="str">
        <f t="shared" si="13"/>
        <v/>
      </c>
      <c r="H116" s="551" t="str">
        <f>IF(C116="","",IF(OR($D$9=4,$D$9=10),IF(AND(D$7&gt;0,ROUNDDOWN($D$14/6,0)&gt;=17),17,""),""))</f>
        <v/>
      </c>
      <c r="I116" s="565" t="str">
        <f t="shared" si="14"/>
        <v/>
      </c>
      <c r="J116" s="574" t="str">
        <f t="shared" si="15"/>
        <v/>
      </c>
      <c r="K116" s="580" t="str">
        <f t="shared" si="9"/>
        <v/>
      </c>
      <c r="L116" s="591" t="str">
        <f>IF(OR(L115=0,L115=""),"",IF(AND(H116="",C116=""),"",IF(COUNT(H115:H120)&gt;0,L115-IF(I116="",0,I116),"")))</f>
        <v/>
      </c>
    </row>
    <row r="117" spans="2:12">
      <c r="B117" s="540">
        <v>99</v>
      </c>
      <c r="C117" s="551" t="str">
        <f t="shared" si="8"/>
        <v/>
      </c>
      <c r="D117" s="565" t="str">
        <f t="shared" si="10"/>
        <v/>
      </c>
      <c r="E117" s="574" t="str">
        <f t="shared" si="11"/>
        <v/>
      </c>
      <c r="F117" s="580" t="str">
        <f t="shared" si="12"/>
        <v/>
      </c>
      <c r="G117" s="580" t="str">
        <f t="shared" si="13"/>
        <v/>
      </c>
      <c r="H117" s="551" t="str">
        <f>IF(C117="","",IF(OR($D$9=3,$D$9=9),IF(AND(D$7&gt;0,ROUNDDOWN($D$14/6,0)&gt;=17),17,""),""))</f>
        <v/>
      </c>
      <c r="I117" s="565" t="str">
        <f t="shared" si="14"/>
        <v/>
      </c>
      <c r="J117" s="574" t="str">
        <f t="shared" si="15"/>
        <v/>
      </c>
      <c r="K117" s="580" t="str">
        <f t="shared" si="9"/>
        <v/>
      </c>
      <c r="L117" s="591" t="str">
        <f>IF(OR(L116=0,L116=""),"",IF(AND(H117="",C117=""),"",IF(COUNT(H115:H120)&gt;0,L116-IF(I117="",0,I117),"")))</f>
        <v/>
      </c>
    </row>
    <row r="118" spans="2:12">
      <c r="B118" s="540">
        <v>100</v>
      </c>
      <c r="C118" s="551" t="str">
        <f t="shared" si="8"/>
        <v/>
      </c>
      <c r="D118" s="565" t="str">
        <f t="shared" si="10"/>
        <v/>
      </c>
      <c r="E118" s="574" t="str">
        <f t="shared" si="11"/>
        <v/>
      </c>
      <c r="F118" s="580" t="str">
        <f t="shared" si="12"/>
        <v/>
      </c>
      <c r="G118" s="580" t="str">
        <f t="shared" si="13"/>
        <v/>
      </c>
      <c r="H118" s="551" t="str">
        <f>IF(C118="","",IF(OR($D$9=2,$D$9=8),IF(AND(D$7&gt;0,ROUNDDOWN($D$14/6,0)&gt;=17),17,""),""))</f>
        <v/>
      </c>
      <c r="I118" s="565" t="str">
        <f t="shared" si="14"/>
        <v/>
      </c>
      <c r="J118" s="574" t="str">
        <f t="shared" si="15"/>
        <v/>
      </c>
      <c r="K118" s="580" t="str">
        <f t="shared" si="9"/>
        <v/>
      </c>
      <c r="L118" s="591" t="str">
        <f>IF(OR(L117=0,L117=""),"",IF(AND(H118="",C118=""),"",IF(COUNT(H115:H120)&gt;0,L117-IF(I118="",0,I118),"")))</f>
        <v/>
      </c>
    </row>
    <row r="119" spans="2:12">
      <c r="B119" s="540">
        <v>101</v>
      </c>
      <c r="C119" s="551" t="str">
        <f t="shared" si="8"/>
        <v/>
      </c>
      <c r="D119" s="565" t="str">
        <f t="shared" si="10"/>
        <v/>
      </c>
      <c r="E119" s="574" t="str">
        <f t="shared" si="11"/>
        <v/>
      </c>
      <c r="F119" s="580" t="str">
        <f t="shared" si="12"/>
        <v/>
      </c>
      <c r="G119" s="580" t="str">
        <f t="shared" si="13"/>
        <v/>
      </c>
      <c r="H119" s="551" t="str">
        <f>IF(C119="","",IF(OR($D$9=1,$D$9=7),IF(AND(D$7&gt;0,ROUNDDOWN($D$14/6,0)&gt;=17),17,""),""))</f>
        <v/>
      </c>
      <c r="I119" s="565" t="str">
        <f t="shared" si="14"/>
        <v/>
      </c>
      <c r="J119" s="574" t="str">
        <f t="shared" si="15"/>
        <v/>
      </c>
      <c r="K119" s="580" t="str">
        <f t="shared" si="9"/>
        <v/>
      </c>
      <c r="L119" s="591" t="str">
        <f>IF(OR(L118=0,L118=""),"",IF(AND(H119="",C119=""),"",IF(COUNT(H115:H120)&gt;0,L118-IF(I119="",0,I119),"")))</f>
        <v/>
      </c>
    </row>
    <row r="120" spans="2:12">
      <c r="B120" s="540">
        <v>102</v>
      </c>
      <c r="C120" s="552" t="str">
        <f t="shared" si="8"/>
        <v/>
      </c>
      <c r="D120" s="566" t="str">
        <f t="shared" si="10"/>
        <v/>
      </c>
      <c r="E120" s="575" t="str">
        <f t="shared" si="11"/>
        <v/>
      </c>
      <c r="F120" s="581" t="str">
        <f t="shared" si="12"/>
        <v/>
      </c>
      <c r="G120" s="581" t="str">
        <f t="shared" si="13"/>
        <v/>
      </c>
      <c r="H120" s="552" t="str">
        <f>IF(C120="","",IF(OR($D$9=12,$D$9=6),IF(AND(D$7&gt;0,ROUNDDOWN($D$14/6,0)&gt;=17),17,""),""))</f>
        <v/>
      </c>
      <c r="I120" s="566" t="str">
        <f t="shared" si="14"/>
        <v/>
      </c>
      <c r="J120" s="575" t="str">
        <f t="shared" si="15"/>
        <v/>
      </c>
      <c r="K120" s="581" t="str">
        <f t="shared" si="9"/>
        <v/>
      </c>
      <c r="L120" s="592" t="str">
        <f>IF(OR(L119=0,L119=""),"",IF(AND(H120="",C120=""),"",IF(COUNT(H115:H120)&gt;0,L119-IF(I120="",0,I120),"")))</f>
        <v/>
      </c>
    </row>
    <row r="121" spans="2:12">
      <c r="B121" s="540">
        <v>103</v>
      </c>
      <c r="C121" s="551" t="str">
        <f t="shared" si="8"/>
        <v/>
      </c>
      <c r="D121" s="565" t="str">
        <f t="shared" si="10"/>
        <v/>
      </c>
      <c r="E121" s="574" t="str">
        <f t="shared" si="11"/>
        <v/>
      </c>
      <c r="F121" s="580" t="str">
        <f t="shared" si="12"/>
        <v/>
      </c>
      <c r="G121" s="580" t="str">
        <f t="shared" si="13"/>
        <v/>
      </c>
      <c r="H121" s="551" t="str">
        <f>IF(C121="","",IF(OR($D$9=5,$D$9=11),IF(AND(D$7&gt;0,ROUNDDOWN($D$14/6,0)&gt;=18),18,""),""))</f>
        <v/>
      </c>
      <c r="I121" s="565" t="str">
        <f t="shared" si="14"/>
        <v/>
      </c>
      <c r="J121" s="574" t="str">
        <f t="shared" si="15"/>
        <v/>
      </c>
      <c r="K121" s="580" t="str">
        <f t="shared" si="9"/>
        <v/>
      </c>
      <c r="L121" s="591" t="str">
        <f>IF(OR(L120=0,L120=""),"",IF(AND(H121="",C121=""),"",IF(COUNT(H121:H126)&gt;0,L120-IF(I121="",0,I121),"")))</f>
        <v/>
      </c>
    </row>
    <row r="122" spans="2:12">
      <c r="B122" s="540">
        <v>104</v>
      </c>
      <c r="C122" s="551" t="str">
        <f t="shared" si="8"/>
        <v/>
      </c>
      <c r="D122" s="565" t="str">
        <f t="shared" si="10"/>
        <v/>
      </c>
      <c r="E122" s="574" t="str">
        <f t="shared" si="11"/>
        <v/>
      </c>
      <c r="F122" s="580" t="str">
        <f t="shared" si="12"/>
        <v/>
      </c>
      <c r="G122" s="580" t="str">
        <f t="shared" si="13"/>
        <v/>
      </c>
      <c r="H122" s="551" t="str">
        <f>IF(C122="","",IF(OR($D$9=4,$D$9=10),IF(AND(D$7&gt;0,ROUNDDOWN($D$14/6,0)&gt;=18),18,""),""))</f>
        <v/>
      </c>
      <c r="I122" s="565" t="str">
        <f t="shared" si="14"/>
        <v/>
      </c>
      <c r="J122" s="574" t="str">
        <f t="shared" si="15"/>
        <v/>
      </c>
      <c r="K122" s="580" t="str">
        <f t="shared" si="9"/>
        <v/>
      </c>
      <c r="L122" s="591" t="str">
        <f>IF(OR(L121=0,L121=""),"",IF(AND(H122="",C122=""),"",IF(COUNT(H121:H126)&gt;0,L121-IF(I122="",0,I122),"")))</f>
        <v/>
      </c>
    </row>
    <row r="123" spans="2:12">
      <c r="B123" s="540">
        <v>105</v>
      </c>
      <c r="C123" s="551" t="str">
        <f t="shared" si="8"/>
        <v/>
      </c>
      <c r="D123" s="565" t="str">
        <f t="shared" si="10"/>
        <v/>
      </c>
      <c r="E123" s="574" t="str">
        <f t="shared" si="11"/>
        <v/>
      </c>
      <c r="F123" s="580" t="str">
        <f t="shared" si="12"/>
        <v/>
      </c>
      <c r="G123" s="580" t="str">
        <f t="shared" si="13"/>
        <v/>
      </c>
      <c r="H123" s="551" t="str">
        <f>IF(C123="","",IF(OR($D$9=3,$D$9=9),IF(AND(D$7&gt;0,ROUNDDOWN($D$14/6,0)&gt;=18),18,""),""))</f>
        <v/>
      </c>
      <c r="I123" s="565" t="str">
        <f t="shared" si="14"/>
        <v/>
      </c>
      <c r="J123" s="574" t="str">
        <f t="shared" si="15"/>
        <v/>
      </c>
      <c r="K123" s="580" t="str">
        <f t="shared" si="9"/>
        <v/>
      </c>
      <c r="L123" s="591" t="str">
        <f>IF(OR(L122=0,L122=""),"",IF(AND(H123="",C123=""),"",IF(COUNT(H121:H126)&gt;0,L122-IF(I123="",0,I123),"")))</f>
        <v/>
      </c>
    </row>
    <row r="124" spans="2:12">
      <c r="B124" s="540">
        <v>106</v>
      </c>
      <c r="C124" s="551" t="str">
        <f t="shared" si="8"/>
        <v/>
      </c>
      <c r="D124" s="565" t="str">
        <f t="shared" si="10"/>
        <v/>
      </c>
      <c r="E124" s="574" t="str">
        <f t="shared" si="11"/>
        <v/>
      </c>
      <c r="F124" s="580" t="str">
        <f t="shared" si="12"/>
        <v/>
      </c>
      <c r="G124" s="580" t="str">
        <f t="shared" si="13"/>
        <v/>
      </c>
      <c r="H124" s="551" t="str">
        <f>IF(C124="","",IF(OR($D$9=2,$D$9=8),IF(AND(D$7&gt;0,ROUNDDOWN($D$14/6,0)&gt;=18),18,""),""))</f>
        <v/>
      </c>
      <c r="I124" s="565" t="str">
        <f t="shared" si="14"/>
        <v/>
      </c>
      <c r="J124" s="574" t="str">
        <f t="shared" si="15"/>
        <v/>
      </c>
      <c r="K124" s="580" t="str">
        <f t="shared" si="9"/>
        <v/>
      </c>
      <c r="L124" s="591" t="str">
        <f>IF(OR(L123=0,L123=""),"",IF(AND(H124="",C124=""),"",IF(COUNT(H121:H126)&gt;0,L123-IF(I124="",0,I124),"")))</f>
        <v/>
      </c>
    </row>
    <row r="125" spans="2:12">
      <c r="B125" s="540">
        <v>107</v>
      </c>
      <c r="C125" s="551" t="str">
        <f t="shared" si="8"/>
        <v/>
      </c>
      <c r="D125" s="565" t="str">
        <f t="shared" si="10"/>
        <v/>
      </c>
      <c r="E125" s="574" t="str">
        <f t="shared" si="11"/>
        <v/>
      </c>
      <c r="F125" s="580" t="str">
        <f t="shared" si="12"/>
        <v/>
      </c>
      <c r="G125" s="580" t="str">
        <f t="shared" si="13"/>
        <v/>
      </c>
      <c r="H125" s="551" t="str">
        <f>IF(C125="","",IF(OR($D$9=1,$D$9=7),IF(AND(D$7&gt;0,ROUNDDOWN($D$14/6,0)&gt;=18),18,""),""))</f>
        <v/>
      </c>
      <c r="I125" s="565" t="str">
        <f t="shared" si="14"/>
        <v/>
      </c>
      <c r="J125" s="574" t="str">
        <f t="shared" si="15"/>
        <v/>
      </c>
      <c r="K125" s="580" t="str">
        <f t="shared" si="9"/>
        <v/>
      </c>
      <c r="L125" s="591" t="str">
        <f>IF(OR(L124=0,L124=""),"",IF(AND(H125="",C125=""),"",IF(COUNT(H121:H126)&gt;0,L124-IF(I125="",0,I125),"")))</f>
        <v/>
      </c>
    </row>
    <row r="126" spans="2:12">
      <c r="B126" s="540">
        <v>108</v>
      </c>
      <c r="C126" s="551" t="str">
        <f t="shared" si="8"/>
        <v/>
      </c>
      <c r="D126" s="565" t="str">
        <f t="shared" si="10"/>
        <v/>
      </c>
      <c r="E126" s="574" t="str">
        <f t="shared" si="11"/>
        <v/>
      </c>
      <c r="F126" s="580" t="str">
        <f t="shared" si="12"/>
        <v/>
      </c>
      <c r="G126" s="580" t="str">
        <f t="shared" si="13"/>
        <v/>
      </c>
      <c r="H126" s="551" t="str">
        <f>IF(C126="","",IF(OR($D$9=12,$D$9=6),IF(AND(D$7&gt;0,ROUNDDOWN($D$14/6,0)&gt;=18),18,""),""))</f>
        <v/>
      </c>
      <c r="I126" s="565" t="str">
        <f t="shared" si="14"/>
        <v/>
      </c>
      <c r="J126" s="574" t="str">
        <f t="shared" si="15"/>
        <v/>
      </c>
      <c r="K126" s="580" t="str">
        <f t="shared" si="9"/>
        <v/>
      </c>
      <c r="L126" s="591" t="str">
        <f>IF(OR(L125=0,L125=""),"",IF(AND(H126="",C126=""),"",IF(COUNT(H121:H126)&gt;0,L125-IF(I126="",0,I126),"")))</f>
        <v/>
      </c>
    </row>
    <row r="127" spans="2:12">
      <c r="B127" s="540">
        <v>109</v>
      </c>
      <c r="C127" s="553" t="str">
        <f t="shared" si="8"/>
        <v/>
      </c>
      <c r="D127" s="567" t="str">
        <f t="shared" si="10"/>
        <v/>
      </c>
      <c r="E127" s="576" t="str">
        <f t="shared" si="11"/>
        <v/>
      </c>
      <c r="F127" s="582" t="str">
        <f t="shared" si="12"/>
        <v/>
      </c>
      <c r="G127" s="582" t="str">
        <f t="shared" si="13"/>
        <v/>
      </c>
      <c r="H127" s="553" t="str">
        <f>IF(C127="","",IF(OR($D$9=5,$D$9=11),IF(AND(D$7&gt;0,ROUNDDOWN($D$14/6,0)&gt;=19),19,""),""))</f>
        <v/>
      </c>
      <c r="I127" s="567" t="str">
        <f t="shared" si="14"/>
        <v/>
      </c>
      <c r="J127" s="576" t="str">
        <f t="shared" si="15"/>
        <v/>
      </c>
      <c r="K127" s="582" t="str">
        <f t="shared" si="9"/>
        <v/>
      </c>
      <c r="L127" s="593" t="str">
        <f>IF(OR(L126=0,L126=""),"",IF(AND(H127="",C127=""),"",IF(COUNT(H127:H132)&gt;0,L126-IF(I127="",0,I127),"")))</f>
        <v/>
      </c>
    </row>
    <row r="128" spans="2:12">
      <c r="B128" s="540">
        <v>110</v>
      </c>
      <c r="C128" s="551" t="str">
        <f t="shared" si="8"/>
        <v/>
      </c>
      <c r="D128" s="565" t="str">
        <f t="shared" si="10"/>
        <v/>
      </c>
      <c r="E128" s="574" t="str">
        <f t="shared" si="11"/>
        <v/>
      </c>
      <c r="F128" s="580" t="str">
        <f t="shared" si="12"/>
        <v/>
      </c>
      <c r="G128" s="580" t="str">
        <f t="shared" si="13"/>
        <v/>
      </c>
      <c r="H128" s="551" t="str">
        <f>IF(C128="","",IF(OR($D$9=4,$D$9=10),IF(AND(D$7&gt;0,ROUNDDOWN($D$14/6,0)&gt;=19),19,""),""))</f>
        <v/>
      </c>
      <c r="I128" s="565" t="str">
        <f t="shared" si="14"/>
        <v/>
      </c>
      <c r="J128" s="574" t="str">
        <f t="shared" si="15"/>
        <v/>
      </c>
      <c r="K128" s="580" t="str">
        <f t="shared" si="9"/>
        <v/>
      </c>
      <c r="L128" s="591" t="str">
        <f>IF(OR(L127=0,L127=""),"",IF(AND(H128="",C128=""),"",IF(COUNT(H127:H132)&gt;0,L127-IF(I128="",0,I128),"")))</f>
        <v/>
      </c>
    </row>
    <row r="129" spans="2:12">
      <c r="B129" s="540">
        <v>111</v>
      </c>
      <c r="C129" s="551" t="str">
        <f t="shared" si="8"/>
        <v/>
      </c>
      <c r="D129" s="565" t="str">
        <f t="shared" si="10"/>
        <v/>
      </c>
      <c r="E129" s="574" t="str">
        <f t="shared" si="11"/>
        <v/>
      </c>
      <c r="F129" s="580" t="str">
        <f t="shared" si="12"/>
        <v/>
      </c>
      <c r="G129" s="580" t="str">
        <f t="shared" si="13"/>
        <v/>
      </c>
      <c r="H129" s="551" t="str">
        <f>IF(C129="","",IF(OR($D$9=3,$D$9=9),IF(AND(D$7&gt;0,ROUNDDOWN($D$14/6,0)&gt;=19),19,""),""))</f>
        <v/>
      </c>
      <c r="I129" s="565" t="str">
        <f t="shared" si="14"/>
        <v/>
      </c>
      <c r="J129" s="574" t="str">
        <f t="shared" si="15"/>
        <v/>
      </c>
      <c r="K129" s="580" t="str">
        <f t="shared" si="9"/>
        <v/>
      </c>
      <c r="L129" s="591" t="str">
        <f>IF(OR(L128=0,L128=""),"",IF(AND(H129="",C129=""),"",IF(COUNT(H127:H132)&gt;0,L128-IF(I129="",0,I129),"")))</f>
        <v/>
      </c>
    </row>
    <row r="130" spans="2:12">
      <c r="B130" s="540">
        <v>112</v>
      </c>
      <c r="C130" s="551" t="str">
        <f t="shared" si="8"/>
        <v/>
      </c>
      <c r="D130" s="565" t="str">
        <f t="shared" si="10"/>
        <v/>
      </c>
      <c r="E130" s="574" t="str">
        <f t="shared" si="11"/>
        <v/>
      </c>
      <c r="F130" s="580" t="str">
        <f t="shared" si="12"/>
        <v/>
      </c>
      <c r="G130" s="580" t="str">
        <f t="shared" si="13"/>
        <v/>
      </c>
      <c r="H130" s="551" t="str">
        <f>IF(C130="","",IF(OR($D$9=2,$D$9=8),IF(AND(D$7&gt;0,ROUNDDOWN($D$14/6,0)&gt;=19),19,""),""))</f>
        <v/>
      </c>
      <c r="I130" s="565" t="str">
        <f t="shared" si="14"/>
        <v/>
      </c>
      <c r="J130" s="574" t="str">
        <f t="shared" si="15"/>
        <v/>
      </c>
      <c r="K130" s="580" t="str">
        <f t="shared" si="9"/>
        <v/>
      </c>
      <c r="L130" s="591" t="str">
        <f>IF(OR(L129=0,L129=""),"",IF(AND(H130="",C130=""),"",IF(COUNT(H127:H132)&gt;0,L129-IF(I130="",0,I130),"")))</f>
        <v/>
      </c>
    </row>
    <row r="131" spans="2:12">
      <c r="B131" s="540">
        <v>113</v>
      </c>
      <c r="C131" s="551" t="str">
        <f t="shared" si="8"/>
        <v/>
      </c>
      <c r="D131" s="565" t="str">
        <f t="shared" si="10"/>
        <v/>
      </c>
      <c r="E131" s="574" t="str">
        <f t="shared" si="11"/>
        <v/>
      </c>
      <c r="F131" s="580" t="str">
        <f t="shared" si="12"/>
        <v/>
      </c>
      <c r="G131" s="580" t="str">
        <f t="shared" si="13"/>
        <v/>
      </c>
      <c r="H131" s="551" t="str">
        <f>IF(C131="","",IF(OR($D$9=1,$D$9=7),IF(AND(D$7&gt;0,ROUNDDOWN($D$14/6,0)&gt;=19),19,""),""))</f>
        <v/>
      </c>
      <c r="I131" s="565" t="str">
        <f t="shared" si="14"/>
        <v/>
      </c>
      <c r="J131" s="574" t="str">
        <f t="shared" si="15"/>
        <v/>
      </c>
      <c r="K131" s="580" t="str">
        <f t="shared" si="9"/>
        <v/>
      </c>
      <c r="L131" s="591" t="str">
        <f>IF(OR(L130=0,L130=""),"",IF(AND(H131="",C131=""),"",IF(COUNT(H127:H132)&gt;0,L130-IF(I131="",0,I131),"")))</f>
        <v/>
      </c>
    </row>
    <row r="132" spans="2:12">
      <c r="B132" s="540">
        <v>114</v>
      </c>
      <c r="C132" s="552" t="str">
        <f t="shared" si="8"/>
        <v/>
      </c>
      <c r="D132" s="566" t="str">
        <f t="shared" si="10"/>
        <v/>
      </c>
      <c r="E132" s="575" t="str">
        <f t="shared" si="11"/>
        <v/>
      </c>
      <c r="F132" s="581" t="str">
        <f t="shared" si="12"/>
        <v/>
      </c>
      <c r="G132" s="581" t="str">
        <f t="shared" si="13"/>
        <v/>
      </c>
      <c r="H132" s="552" t="str">
        <f>IF(C132="","",IF(OR($D$9=12,$D$9=6),IF(AND(D$7&gt;0,ROUNDDOWN($D$14/6,0)&gt;=19),19,""),""))</f>
        <v/>
      </c>
      <c r="I132" s="566" t="str">
        <f t="shared" si="14"/>
        <v/>
      </c>
      <c r="J132" s="575" t="str">
        <f t="shared" si="15"/>
        <v/>
      </c>
      <c r="K132" s="581" t="str">
        <f t="shared" si="9"/>
        <v/>
      </c>
      <c r="L132" s="592" t="str">
        <f>IF(OR(L131=0,L131=""),"",IF(AND(H132="",C132=""),"",IF(COUNT(H127:H132)&gt;0,L131-IF(I132="",0,I132),"")))</f>
        <v/>
      </c>
    </row>
    <row r="133" spans="2:12">
      <c r="B133" s="540">
        <v>115</v>
      </c>
      <c r="C133" s="551" t="str">
        <f t="shared" si="8"/>
        <v/>
      </c>
      <c r="D133" s="565" t="str">
        <f t="shared" si="10"/>
        <v/>
      </c>
      <c r="E133" s="574" t="str">
        <f t="shared" si="11"/>
        <v/>
      </c>
      <c r="F133" s="580" t="str">
        <f t="shared" si="12"/>
        <v/>
      </c>
      <c r="G133" s="580" t="str">
        <f t="shared" si="13"/>
        <v/>
      </c>
      <c r="H133" s="551" t="str">
        <f>IF(C133="","",IF(OR($D$9=5,$D$9=11),IF(AND(D$7&gt;0,ROUNDDOWN($D$14/6,0)&gt;=20),20,""),""))</f>
        <v/>
      </c>
      <c r="I133" s="565" t="str">
        <f t="shared" si="14"/>
        <v/>
      </c>
      <c r="J133" s="574" t="str">
        <f t="shared" si="15"/>
        <v/>
      </c>
      <c r="K133" s="580" t="str">
        <f t="shared" si="9"/>
        <v/>
      </c>
      <c r="L133" s="591" t="str">
        <f>IF(OR(L132=0,L132=""),"",IF(AND(H133="",C133=""),"",IF(COUNT(H133:H138)&gt;0,L132-IF(I133="",0,I133),"")))</f>
        <v/>
      </c>
    </row>
    <row r="134" spans="2:12">
      <c r="B134" s="540">
        <v>116</v>
      </c>
      <c r="C134" s="551" t="str">
        <f t="shared" si="8"/>
        <v/>
      </c>
      <c r="D134" s="565" t="str">
        <f t="shared" si="10"/>
        <v/>
      </c>
      <c r="E134" s="574" t="str">
        <f t="shared" si="11"/>
        <v/>
      </c>
      <c r="F134" s="580" t="str">
        <f t="shared" si="12"/>
        <v/>
      </c>
      <c r="G134" s="580" t="str">
        <f t="shared" si="13"/>
        <v/>
      </c>
      <c r="H134" s="551" t="str">
        <f>IF(C134="","",IF(OR($D$9=4,$D$9=10),IF(AND(D$7&gt;0,ROUNDDOWN($D$14/6,0)&gt;=20),20,""),""))</f>
        <v/>
      </c>
      <c r="I134" s="565" t="str">
        <f t="shared" si="14"/>
        <v/>
      </c>
      <c r="J134" s="574" t="str">
        <f t="shared" si="15"/>
        <v/>
      </c>
      <c r="K134" s="580" t="str">
        <f t="shared" si="9"/>
        <v/>
      </c>
      <c r="L134" s="591" t="str">
        <f>IF(OR(L133=0,L133=""),"",IF(AND(H134="",C134=""),"",IF(COUNT(H133:H138)&gt;0,L133-IF(I134="",0,I134),"")))</f>
        <v/>
      </c>
    </row>
    <row r="135" spans="2:12">
      <c r="B135" s="540">
        <v>117</v>
      </c>
      <c r="C135" s="551" t="str">
        <f t="shared" si="8"/>
        <v/>
      </c>
      <c r="D135" s="565" t="str">
        <f t="shared" si="10"/>
        <v/>
      </c>
      <c r="E135" s="574" t="str">
        <f t="shared" si="11"/>
        <v/>
      </c>
      <c r="F135" s="580" t="str">
        <f t="shared" si="12"/>
        <v/>
      </c>
      <c r="G135" s="580" t="str">
        <f t="shared" si="13"/>
        <v/>
      </c>
      <c r="H135" s="551" t="str">
        <f>IF(C135="","",IF(OR($D$9=3,$D$9=9),IF(AND(D$7&gt;0,ROUNDDOWN($D$14/6,0)&gt;=20),20,""),""))</f>
        <v/>
      </c>
      <c r="I135" s="565" t="str">
        <f t="shared" si="14"/>
        <v/>
      </c>
      <c r="J135" s="574" t="str">
        <f t="shared" si="15"/>
        <v/>
      </c>
      <c r="K135" s="580" t="str">
        <f t="shared" si="9"/>
        <v/>
      </c>
      <c r="L135" s="591" t="str">
        <f>IF(OR(L134=0,L134=""),"",IF(AND(H135="",C135=""),"",IF(COUNT(H133:H138)&gt;0,L134-IF(I135="",0,I135),"")))</f>
        <v/>
      </c>
    </row>
    <row r="136" spans="2:12">
      <c r="B136" s="540">
        <v>118</v>
      </c>
      <c r="C136" s="551" t="str">
        <f t="shared" si="8"/>
        <v/>
      </c>
      <c r="D136" s="565" t="str">
        <f t="shared" si="10"/>
        <v/>
      </c>
      <c r="E136" s="574" t="str">
        <f t="shared" si="11"/>
        <v/>
      </c>
      <c r="F136" s="580" t="str">
        <f t="shared" si="12"/>
        <v/>
      </c>
      <c r="G136" s="580" t="str">
        <f t="shared" si="13"/>
        <v/>
      </c>
      <c r="H136" s="551" t="str">
        <f>IF(C136="","",IF(OR($D$9=2,$D$9=8),IF(AND(D$7&gt;0,ROUNDDOWN($D$14/6,0)&gt;=20),20,""),""))</f>
        <v/>
      </c>
      <c r="I136" s="565" t="str">
        <f t="shared" si="14"/>
        <v/>
      </c>
      <c r="J136" s="574" t="str">
        <f t="shared" si="15"/>
        <v/>
      </c>
      <c r="K136" s="580" t="str">
        <f t="shared" si="9"/>
        <v/>
      </c>
      <c r="L136" s="591" t="str">
        <f>IF(OR(L135=0,L135=""),"",IF(AND(H136="",C136=""),"",IF(COUNT(H133:H138)&gt;0,L135-IF(I136="",0,I136),"")))</f>
        <v/>
      </c>
    </row>
    <row r="137" spans="2:12">
      <c r="B137" s="540">
        <v>119</v>
      </c>
      <c r="C137" s="551" t="str">
        <f t="shared" si="8"/>
        <v/>
      </c>
      <c r="D137" s="565" t="str">
        <f t="shared" si="10"/>
        <v/>
      </c>
      <c r="E137" s="574" t="str">
        <f t="shared" si="11"/>
        <v/>
      </c>
      <c r="F137" s="580" t="str">
        <f t="shared" si="12"/>
        <v/>
      </c>
      <c r="G137" s="580" t="str">
        <f t="shared" si="13"/>
        <v/>
      </c>
      <c r="H137" s="551" t="str">
        <f>IF(C137="","",IF(OR($D$9=1,$D$9=7),IF(AND(D$7&gt;0,ROUNDDOWN($D$14/6,0)&gt;=20),20,""),""))</f>
        <v/>
      </c>
      <c r="I137" s="565" t="str">
        <f t="shared" si="14"/>
        <v/>
      </c>
      <c r="J137" s="574" t="str">
        <f t="shared" si="15"/>
        <v/>
      </c>
      <c r="K137" s="580" t="str">
        <f t="shared" si="9"/>
        <v/>
      </c>
      <c r="L137" s="591" t="str">
        <f>IF(OR(L136=0,L136=""),"",IF(AND(H137="",C137=""),"",IF(COUNT(H133:H138)&gt;0,L136-IF(I137="",0,I137),"")))</f>
        <v/>
      </c>
    </row>
    <row r="138" spans="2:12">
      <c r="B138" s="540">
        <v>120</v>
      </c>
      <c r="C138" s="551" t="str">
        <f t="shared" si="8"/>
        <v/>
      </c>
      <c r="D138" s="565" t="str">
        <f t="shared" si="10"/>
        <v/>
      </c>
      <c r="E138" s="574" t="str">
        <f t="shared" si="11"/>
        <v/>
      </c>
      <c r="F138" s="580" t="str">
        <f t="shared" si="12"/>
        <v/>
      </c>
      <c r="G138" s="580" t="str">
        <f t="shared" si="13"/>
        <v/>
      </c>
      <c r="H138" s="551" t="str">
        <f>IF(C138="","",IF(OR($D$9=12,$D$9=6),IF(AND(D$7&gt;0,ROUNDDOWN($D$14/6,0)&gt;=20),20,""),""))</f>
        <v/>
      </c>
      <c r="I138" s="565" t="str">
        <f t="shared" si="14"/>
        <v/>
      </c>
      <c r="J138" s="574" t="str">
        <f t="shared" si="15"/>
        <v/>
      </c>
      <c r="K138" s="580" t="str">
        <f t="shared" si="9"/>
        <v/>
      </c>
      <c r="L138" s="591" t="str">
        <f>IF(OR(L137=0,L137=""),"",IF(AND(H138="",C138=""),"",IF(COUNT(H133:H138)&gt;0,L137-IF(I138="",0,I138),"")))</f>
        <v/>
      </c>
    </row>
    <row r="139" spans="2:12">
      <c r="B139" s="540">
        <v>121</v>
      </c>
      <c r="C139" s="553" t="str">
        <f t="shared" si="8"/>
        <v/>
      </c>
      <c r="D139" s="567" t="str">
        <f t="shared" si="10"/>
        <v/>
      </c>
      <c r="E139" s="576" t="str">
        <f t="shared" si="11"/>
        <v/>
      </c>
      <c r="F139" s="582" t="str">
        <f t="shared" si="12"/>
        <v/>
      </c>
      <c r="G139" s="582" t="str">
        <f t="shared" si="13"/>
        <v/>
      </c>
      <c r="H139" s="553" t="str">
        <f>IF(C139="","",IF(OR($D$9=5,$D$9=11),IF(AND(D$7&gt;0,ROUNDDOWN($D$14/6,0)&gt;=21),21,""),""))</f>
        <v/>
      </c>
      <c r="I139" s="567" t="str">
        <f t="shared" si="14"/>
        <v/>
      </c>
      <c r="J139" s="576" t="str">
        <f t="shared" si="15"/>
        <v/>
      </c>
      <c r="K139" s="582" t="str">
        <f t="shared" si="9"/>
        <v/>
      </c>
      <c r="L139" s="593" t="str">
        <f>IF(OR(L138=0,L138=""),"",IF(AND(H139="",C139=""),"",IF(COUNT(H139:H144)&gt;0,L138-IF(I139="",0,I139),"")))</f>
        <v/>
      </c>
    </row>
    <row r="140" spans="2:12">
      <c r="B140" s="540">
        <v>122</v>
      </c>
      <c r="C140" s="551" t="str">
        <f t="shared" si="8"/>
        <v/>
      </c>
      <c r="D140" s="565" t="str">
        <f t="shared" si="10"/>
        <v/>
      </c>
      <c r="E140" s="574" t="str">
        <f t="shared" si="11"/>
        <v/>
      </c>
      <c r="F140" s="580" t="str">
        <f t="shared" si="12"/>
        <v/>
      </c>
      <c r="G140" s="580" t="str">
        <f t="shared" si="13"/>
        <v/>
      </c>
      <c r="H140" s="551" t="str">
        <f>IF(C140="","",IF(OR($D$9=4,$D$9=10),IF(AND(D$7&gt;0,ROUNDDOWN($D$14/6,0)&gt;=21),21,""),""))</f>
        <v/>
      </c>
      <c r="I140" s="565" t="str">
        <f t="shared" si="14"/>
        <v/>
      </c>
      <c r="J140" s="574" t="str">
        <f t="shared" si="15"/>
        <v/>
      </c>
      <c r="K140" s="580" t="str">
        <f t="shared" si="9"/>
        <v/>
      </c>
      <c r="L140" s="591" t="str">
        <f>IF(OR(L139=0,L139=""),"",IF(AND(H140="",C140=""),"",IF(COUNT(H139:H144)&gt;0,L139-IF(I140="",0,I140),"")))</f>
        <v/>
      </c>
    </row>
    <row r="141" spans="2:12">
      <c r="B141" s="540">
        <v>123</v>
      </c>
      <c r="C141" s="551" t="str">
        <f t="shared" si="8"/>
        <v/>
      </c>
      <c r="D141" s="565" t="str">
        <f t="shared" si="10"/>
        <v/>
      </c>
      <c r="E141" s="574" t="str">
        <f t="shared" si="11"/>
        <v/>
      </c>
      <c r="F141" s="580" t="str">
        <f t="shared" si="12"/>
        <v/>
      </c>
      <c r="G141" s="580" t="str">
        <f t="shared" si="13"/>
        <v/>
      </c>
      <c r="H141" s="551" t="str">
        <f>IF(C141="","",IF(OR($D$9=3,$D$9=9),IF(AND(D$7&gt;0,ROUNDDOWN($D$14/6,0)&gt;=21),21,""),""))</f>
        <v/>
      </c>
      <c r="I141" s="565" t="str">
        <f t="shared" si="14"/>
        <v/>
      </c>
      <c r="J141" s="574" t="str">
        <f t="shared" si="15"/>
        <v/>
      </c>
      <c r="K141" s="580" t="str">
        <f t="shared" si="9"/>
        <v/>
      </c>
      <c r="L141" s="591" t="str">
        <f>IF(OR(L140=0,L140=""),"",IF(AND(H141="",C141=""),"",IF(COUNT(H139:H144)&gt;0,L140-IF(I141="",0,I141),"")))</f>
        <v/>
      </c>
    </row>
    <row r="142" spans="2:12">
      <c r="B142" s="540">
        <v>124</v>
      </c>
      <c r="C142" s="551" t="str">
        <f t="shared" si="8"/>
        <v/>
      </c>
      <c r="D142" s="565" t="str">
        <f t="shared" si="10"/>
        <v/>
      </c>
      <c r="E142" s="574" t="str">
        <f t="shared" si="11"/>
        <v/>
      </c>
      <c r="F142" s="580" t="str">
        <f t="shared" si="12"/>
        <v/>
      </c>
      <c r="G142" s="580" t="str">
        <f t="shared" si="13"/>
        <v/>
      </c>
      <c r="H142" s="551" t="str">
        <f>IF(C142="","",IF(OR($D$9=2,$D$9=8),IF(AND(D$7&gt;0,ROUNDDOWN($D$14/6,0)&gt;=21),21,""),""))</f>
        <v/>
      </c>
      <c r="I142" s="565" t="str">
        <f t="shared" si="14"/>
        <v/>
      </c>
      <c r="J142" s="574" t="str">
        <f t="shared" si="15"/>
        <v/>
      </c>
      <c r="K142" s="580" t="str">
        <f t="shared" si="9"/>
        <v/>
      </c>
      <c r="L142" s="591" t="str">
        <f>IF(OR(L141=0,L141=""),"",IF(AND(H142="",C142=""),"",IF(COUNT(H139:H144)&gt;0,L141-IF(I142="",0,I142),"")))</f>
        <v/>
      </c>
    </row>
    <row r="143" spans="2:12">
      <c r="B143" s="540">
        <v>125</v>
      </c>
      <c r="C143" s="551" t="str">
        <f t="shared" si="8"/>
        <v/>
      </c>
      <c r="D143" s="565" t="str">
        <f t="shared" si="10"/>
        <v/>
      </c>
      <c r="E143" s="574" t="str">
        <f t="shared" si="11"/>
        <v/>
      </c>
      <c r="F143" s="580" t="str">
        <f t="shared" si="12"/>
        <v/>
      </c>
      <c r="G143" s="580" t="str">
        <f t="shared" si="13"/>
        <v/>
      </c>
      <c r="H143" s="551" t="str">
        <f>IF(C143="","",IF(OR($D$9=1,$D$9=7),IF(AND(D$7&gt;0,ROUNDDOWN($D$14/6,0)&gt;=21),21,""),""))</f>
        <v/>
      </c>
      <c r="I143" s="565" t="str">
        <f t="shared" si="14"/>
        <v/>
      </c>
      <c r="J143" s="574" t="str">
        <f t="shared" si="15"/>
        <v/>
      </c>
      <c r="K143" s="580" t="str">
        <f t="shared" si="9"/>
        <v/>
      </c>
      <c r="L143" s="591" t="str">
        <f>IF(OR(L142=0,L142=""),"",IF(AND(H143="",C143=""),"",IF(COUNT(H139:H144)&gt;0,L142-IF(I143="",0,I143),"")))</f>
        <v/>
      </c>
    </row>
    <row r="144" spans="2:12">
      <c r="B144" s="540">
        <v>126</v>
      </c>
      <c r="C144" s="552" t="str">
        <f t="shared" si="8"/>
        <v/>
      </c>
      <c r="D144" s="566" t="str">
        <f t="shared" si="10"/>
        <v/>
      </c>
      <c r="E144" s="575" t="str">
        <f t="shared" si="11"/>
        <v/>
      </c>
      <c r="F144" s="581" t="str">
        <f t="shared" si="12"/>
        <v/>
      </c>
      <c r="G144" s="581" t="str">
        <f t="shared" si="13"/>
        <v/>
      </c>
      <c r="H144" s="552" t="str">
        <f>IF(C144="","",IF(OR($D$9=12,$D$9=6),IF(AND(D$7&gt;0,ROUNDDOWN($D$14/6,0)&gt;=21),21,""),""))</f>
        <v/>
      </c>
      <c r="I144" s="566" t="str">
        <f t="shared" si="14"/>
        <v/>
      </c>
      <c r="J144" s="575" t="str">
        <f t="shared" si="15"/>
        <v/>
      </c>
      <c r="K144" s="581" t="str">
        <f t="shared" si="9"/>
        <v/>
      </c>
      <c r="L144" s="592" t="str">
        <f>IF(OR(L143=0,L143=""),"",IF(AND(H144="",C144=""),"",IF(COUNT(H139:H144)&gt;0,L143-IF(I144="",0,I144),"")))</f>
        <v/>
      </c>
    </row>
    <row r="145" spans="2:12">
      <c r="B145" s="540">
        <v>127</v>
      </c>
      <c r="C145" s="551" t="str">
        <f t="shared" si="8"/>
        <v/>
      </c>
      <c r="D145" s="565" t="str">
        <f t="shared" si="10"/>
        <v/>
      </c>
      <c r="E145" s="574" t="str">
        <f t="shared" si="11"/>
        <v/>
      </c>
      <c r="F145" s="580" t="str">
        <f t="shared" si="12"/>
        <v/>
      </c>
      <c r="G145" s="580" t="str">
        <f t="shared" si="13"/>
        <v/>
      </c>
      <c r="H145" s="551" t="str">
        <f>IF(C145="","",IF(OR($D$9=5,$D$9=11),IF(AND(D$7&gt;0,ROUNDDOWN($D$14/6,0)&gt;=22),22,""),""))</f>
        <v/>
      </c>
      <c r="I145" s="565" t="str">
        <f t="shared" si="14"/>
        <v/>
      </c>
      <c r="J145" s="574" t="str">
        <f t="shared" si="15"/>
        <v/>
      </c>
      <c r="K145" s="580" t="str">
        <f t="shared" si="9"/>
        <v/>
      </c>
      <c r="L145" s="591" t="str">
        <f>IF(OR(L144=0,L144=""),"",IF(AND(H145="",C145=""),"",IF(COUNT(H145:H150)&gt;0,L144-IF(I145="",0,I145),"")))</f>
        <v/>
      </c>
    </row>
    <row r="146" spans="2:12">
      <c r="B146" s="540">
        <v>128</v>
      </c>
      <c r="C146" s="551" t="str">
        <f t="shared" si="8"/>
        <v/>
      </c>
      <c r="D146" s="565" t="str">
        <f t="shared" si="10"/>
        <v/>
      </c>
      <c r="E146" s="574" t="str">
        <f t="shared" si="11"/>
        <v/>
      </c>
      <c r="F146" s="580" t="str">
        <f t="shared" si="12"/>
        <v/>
      </c>
      <c r="G146" s="580" t="str">
        <f t="shared" si="13"/>
        <v/>
      </c>
      <c r="H146" s="551" t="str">
        <f>IF(C146="","",IF(OR($D$9=4,$D$9=10),IF(AND(D$7&gt;0,ROUNDDOWN($D$14/6,0)&gt;=22),22,""),""))</f>
        <v/>
      </c>
      <c r="I146" s="565" t="str">
        <f t="shared" si="14"/>
        <v/>
      </c>
      <c r="J146" s="574" t="str">
        <f t="shared" si="15"/>
        <v/>
      </c>
      <c r="K146" s="580" t="str">
        <f t="shared" si="9"/>
        <v/>
      </c>
      <c r="L146" s="591" t="str">
        <f>IF(OR(L145=0,L145=""),"",IF(AND(H146="",C146=""),"",IF(COUNT(H145:H150)&gt;0,L145-IF(I146="",0,I146),"")))</f>
        <v/>
      </c>
    </row>
    <row r="147" spans="2:12">
      <c r="B147" s="540">
        <v>129</v>
      </c>
      <c r="C147" s="551" t="str">
        <f t="shared" ref="C147:C210" si="16">IF($D$14&gt;=B147,B147,"")</f>
        <v/>
      </c>
      <c r="D147" s="565" t="str">
        <f t="shared" si="10"/>
        <v/>
      </c>
      <c r="E147" s="574" t="str">
        <f t="shared" si="11"/>
        <v/>
      </c>
      <c r="F147" s="580" t="str">
        <f t="shared" si="12"/>
        <v/>
      </c>
      <c r="G147" s="580" t="str">
        <f t="shared" si="13"/>
        <v/>
      </c>
      <c r="H147" s="551" t="str">
        <f>IF(C147="","",IF(OR($D$9=3,$D$9=9),IF(AND(D$7&gt;0,ROUNDDOWN($D$14/6,0)&gt;=22),22,""),""))</f>
        <v/>
      </c>
      <c r="I147" s="565" t="str">
        <f t="shared" si="14"/>
        <v/>
      </c>
      <c r="J147" s="574" t="str">
        <f t="shared" si="15"/>
        <v/>
      </c>
      <c r="K147" s="580" t="str">
        <f t="shared" ref="K147:K210" si="17">IF(H147="","",IF(H153="",I147+J147,$I$14))</f>
        <v/>
      </c>
      <c r="L147" s="591" t="str">
        <f>IF(OR(L146=0,L146=""),"",IF(AND(H147="",C147=""),"",IF(COUNT(H145:H150)&gt;0,L146-IF(I147="",0,I147),"")))</f>
        <v/>
      </c>
    </row>
    <row r="148" spans="2:12">
      <c r="B148" s="540">
        <v>130</v>
      </c>
      <c r="C148" s="551" t="str">
        <f t="shared" si="16"/>
        <v/>
      </c>
      <c r="D148" s="565" t="str">
        <f t="shared" ref="D148:D211" si="18">IF(C148="","",IF(C148=$D$14,G147,F148-E148))</f>
        <v/>
      </c>
      <c r="E148" s="574" t="str">
        <f t="shared" ref="E148:E211" si="19">IF(C148="","",ROUNDDOWN(G147*$D$13,0))</f>
        <v/>
      </c>
      <c r="F148" s="580" t="str">
        <f t="shared" ref="F148:F211" si="20">IF(C148="","",IF(C148=$D$14,G147+E148,ROUNDDOWN(PMT($D$13,$D$14,-$D$8),0)))</f>
        <v/>
      </c>
      <c r="G148" s="580" t="str">
        <f t="shared" ref="G148:G211" si="21">IF(C148="","",G147-D148)</f>
        <v/>
      </c>
      <c r="H148" s="551" t="str">
        <f>IF(C148="","",IF(OR($D$9=2,$D$9=8),IF(AND(D$7&gt;0,ROUNDDOWN($D$14/6,0)&gt;=22),22,""),""))</f>
        <v/>
      </c>
      <c r="I148" s="565" t="str">
        <f t="shared" ref="I148:I211" si="22">IF(H148="","",IF(H154="",L147,K148-J148))</f>
        <v/>
      </c>
      <c r="J148" s="574" t="str">
        <f t="shared" si="15"/>
        <v/>
      </c>
      <c r="K148" s="580" t="str">
        <f t="shared" si="17"/>
        <v/>
      </c>
      <c r="L148" s="591" t="str">
        <f>IF(OR(L147=0,L147=""),"",IF(AND(H148="",C148=""),"",IF(COUNT(H145:H150)&gt;0,L147-IF(I148="",0,I148),"")))</f>
        <v/>
      </c>
    </row>
    <row r="149" spans="2:12">
      <c r="B149" s="540">
        <v>131</v>
      </c>
      <c r="C149" s="551" t="str">
        <f t="shared" si="16"/>
        <v/>
      </c>
      <c r="D149" s="565" t="str">
        <f t="shared" si="18"/>
        <v/>
      </c>
      <c r="E149" s="574" t="str">
        <f t="shared" si="19"/>
        <v/>
      </c>
      <c r="F149" s="580" t="str">
        <f t="shared" si="20"/>
        <v/>
      </c>
      <c r="G149" s="580" t="str">
        <f t="shared" si="21"/>
        <v/>
      </c>
      <c r="H149" s="551" t="str">
        <f>IF(C149="","",IF(OR($D$9=1,$D$9=7),IF(AND(D$7&gt;0,ROUNDDOWN($D$14/6,0)&gt;=22),22,""),""))</f>
        <v/>
      </c>
      <c r="I149" s="565" t="str">
        <f t="shared" si="22"/>
        <v/>
      </c>
      <c r="J149" s="574" t="str">
        <f t="shared" si="15"/>
        <v/>
      </c>
      <c r="K149" s="580" t="str">
        <f t="shared" si="17"/>
        <v/>
      </c>
      <c r="L149" s="591" t="str">
        <f>IF(OR(L148=0,L148=""),"",IF(AND(H149="",C149=""),"",IF(COUNT(H145:H150)&gt;0,L148-IF(I149="",0,I149),"")))</f>
        <v/>
      </c>
    </row>
    <row r="150" spans="2:12">
      <c r="B150" s="540">
        <v>132</v>
      </c>
      <c r="C150" s="551" t="str">
        <f t="shared" si="16"/>
        <v/>
      </c>
      <c r="D150" s="565" t="str">
        <f t="shared" si="18"/>
        <v/>
      </c>
      <c r="E150" s="574" t="str">
        <f t="shared" si="19"/>
        <v/>
      </c>
      <c r="F150" s="580" t="str">
        <f t="shared" si="20"/>
        <v/>
      </c>
      <c r="G150" s="580" t="str">
        <f t="shared" si="21"/>
        <v/>
      </c>
      <c r="H150" s="551" t="str">
        <f>IF(C150="","",IF(OR($D$9=12,$D$9=6),IF(AND(D$7&gt;0,ROUNDDOWN($D$14/6,0)&gt;=22),22,""),""))</f>
        <v/>
      </c>
      <c r="I150" s="565" t="str">
        <f t="shared" si="22"/>
        <v/>
      </c>
      <c r="J150" s="574" t="str">
        <f t="shared" si="15"/>
        <v/>
      </c>
      <c r="K150" s="580" t="str">
        <f t="shared" si="17"/>
        <v/>
      </c>
      <c r="L150" s="591" t="str">
        <f>IF(OR(L149=0,L149=""),"",IF(AND(H150="",C150=""),"",IF(COUNT(H145:H150)&gt;0,L149-IF(I150="",0,I150),"")))</f>
        <v/>
      </c>
    </row>
    <row r="151" spans="2:12">
      <c r="B151" s="540">
        <v>133</v>
      </c>
      <c r="C151" s="553" t="str">
        <f t="shared" si="16"/>
        <v/>
      </c>
      <c r="D151" s="567" t="str">
        <f t="shared" si="18"/>
        <v/>
      </c>
      <c r="E151" s="576" t="str">
        <f t="shared" si="19"/>
        <v/>
      </c>
      <c r="F151" s="582" t="str">
        <f t="shared" si="20"/>
        <v/>
      </c>
      <c r="G151" s="582" t="str">
        <f t="shared" si="21"/>
        <v/>
      </c>
      <c r="H151" s="553" t="str">
        <f>IF(C151="","",IF(OR($D$9=5,$D$9=11),IF(AND(D$7&gt;0,ROUNDDOWN($D$14/6,0)&gt;=23),23,""),""))</f>
        <v/>
      </c>
      <c r="I151" s="567" t="str">
        <f t="shared" si="22"/>
        <v/>
      </c>
      <c r="J151" s="576" t="str">
        <f t="shared" si="15"/>
        <v/>
      </c>
      <c r="K151" s="582" t="str">
        <f t="shared" si="17"/>
        <v/>
      </c>
      <c r="L151" s="593" t="str">
        <f>IF(OR(L150=0,L150=""),"",IF(AND(H151="",C151=""),"",IF(COUNT(H151:H156)&gt;0,L150-IF(I151="",0,I151),"")))</f>
        <v/>
      </c>
    </row>
    <row r="152" spans="2:12">
      <c r="B152" s="540">
        <v>134</v>
      </c>
      <c r="C152" s="551" t="str">
        <f t="shared" si="16"/>
        <v/>
      </c>
      <c r="D152" s="565" t="str">
        <f t="shared" si="18"/>
        <v/>
      </c>
      <c r="E152" s="574" t="str">
        <f t="shared" si="19"/>
        <v/>
      </c>
      <c r="F152" s="580" t="str">
        <f t="shared" si="20"/>
        <v/>
      </c>
      <c r="G152" s="580" t="str">
        <f t="shared" si="21"/>
        <v/>
      </c>
      <c r="H152" s="551" t="str">
        <f>IF(C152="","",IF(OR($D$9=4,$D$9=10),IF(AND(D$7&gt;0,ROUNDDOWN($D$14/6,0)&gt;=23),23,""),""))</f>
        <v/>
      </c>
      <c r="I152" s="565" t="str">
        <f t="shared" si="22"/>
        <v/>
      </c>
      <c r="J152" s="574" t="str">
        <f t="shared" si="15"/>
        <v/>
      </c>
      <c r="K152" s="580" t="str">
        <f t="shared" si="17"/>
        <v/>
      </c>
      <c r="L152" s="591" t="str">
        <f>IF(OR(L151=0,L151=""),"",IF(AND(H152="",C152=""),"",IF(COUNT(H151:H156)&gt;0,L151-IF(I152="",0,I152),"")))</f>
        <v/>
      </c>
    </row>
    <row r="153" spans="2:12">
      <c r="B153" s="540">
        <v>135</v>
      </c>
      <c r="C153" s="551" t="str">
        <f t="shared" si="16"/>
        <v/>
      </c>
      <c r="D153" s="565" t="str">
        <f t="shared" si="18"/>
        <v/>
      </c>
      <c r="E153" s="574" t="str">
        <f t="shared" si="19"/>
        <v/>
      </c>
      <c r="F153" s="580" t="str">
        <f t="shared" si="20"/>
        <v/>
      </c>
      <c r="G153" s="580" t="str">
        <f t="shared" si="21"/>
        <v/>
      </c>
      <c r="H153" s="551" t="str">
        <f>IF(C153="","",IF(OR($D$9=3,$D$9=9),IF(AND(D$7&gt;0,ROUNDDOWN($D$14/6,0)&gt;=23),23,""),""))</f>
        <v/>
      </c>
      <c r="I153" s="565" t="str">
        <f t="shared" si="22"/>
        <v/>
      </c>
      <c r="J153" s="574" t="str">
        <f t="shared" ref="J153:J216" si="23">IF(H153="","",ROUNDDOWN(L152*$D$12,0))</f>
        <v/>
      </c>
      <c r="K153" s="580" t="str">
        <f t="shared" si="17"/>
        <v/>
      </c>
      <c r="L153" s="591" t="str">
        <f>IF(OR(L152=0,L152=""),"",IF(AND(H153="",C153=""),"",IF(COUNT(H151:H156)&gt;0,L152-IF(I153="",0,I153),"")))</f>
        <v/>
      </c>
    </row>
    <row r="154" spans="2:12">
      <c r="B154" s="540">
        <v>136</v>
      </c>
      <c r="C154" s="551" t="str">
        <f t="shared" si="16"/>
        <v/>
      </c>
      <c r="D154" s="565" t="str">
        <f t="shared" si="18"/>
        <v/>
      </c>
      <c r="E154" s="574" t="str">
        <f t="shared" si="19"/>
        <v/>
      </c>
      <c r="F154" s="580" t="str">
        <f t="shared" si="20"/>
        <v/>
      </c>
      <c r="G154" s="580" t="str">
        <f t="shared" si="21"/>
        <v/>
      </c>
      <c r="H154" s="551" t="str">
        <f>IF(C154="","",IF(OR($D$9=2,$D$9=8),IF(AND(D$7&gt;0,ROUNDDOWN($D$14/6,0)&gt;=23),23,""),""))</f>
        <v/>
      </c>
      <c r="I154" s="565" t="str">
        <f t="shared" si="22"/>
        <v/>
      </c>
      <c r="J154" s="574" t="str">
        <f t="shared" si="23"/>
        <v/>
      </c>
      <c r="K154" s="580" t="str">
        <f t="shared" si="17"/>
        <v/>
      </c>
      <c r="L154" s="591" t="str">
        <f>IF(OR(L153=0,L153=""),"",IF(AND(H154="",C154=""),"",IF(COUNT(H151:H156)&gt;0,L153-IF(I154="",0,I154),"")))</f>
        <v/>
      </c>
    </row>
    <row r="155" spans="2:12">
      <c r="B155" s="540">
        <v>137</v>
      </c>
      <c r="C155" s="551" t="str">
        <f t="shared" si="16"/>
        <v/>
      </c>
      <c r="D155" s="565" t="str">
        <f t="shared" si="18"/>
        <v/>
      </c>
      <c r="E155" s="574" t="str">
        <f t="shared" si="19"/>
        <v/>
      </c>
      <c r="F155" s="580" t="str">
        <f t="shared" si="20"/>
        <v/>
      </c>
      <c r="G155" s="580" t="str">
        <f t="shared" si="21"/>
        <v/>
      </c>
      <c r="H155" s="551" t="str">
        <f>IF(C155="","",IF(OR($D$9=1,$D$9=7),IF(AND(D$7&gt;0,ROUNDDOWN($D$14/6,0)&gt;=23),23,""),""))</f>
        <v/>
      </c>
      <c r="I155" s="565" t="str">
        <f t="shared" si="22"/>
        <v/>
      </c>
      <c r="J155" s="574" t="str">
        <f t="shared" si="23"/>
        <v/>
      </c>
      <c r="K155" s="580" t="str">
        <f t="shared" si="17"/>
        <v/>
      </c>
      <c r="L155" s="591" t="str">
        <f>IF(OR(L154=0,L154=""),"",IF(AND(H155="",C155=""),"",IF(COUNT(H151:H156)&gt;0,L154-IF(I155="",0,I155),"")))</f>
        <v/>
      </c>
    </row>
    <row r="156" spans="2:12">
      <c r="B156" s="540">
        <v>138</v>
      </c>
      <c r="C156" s="552" t="str">
        <f t="shared" si="16"/>
        <v/>
      </c>
      <c r="D156" s="566" t="str">
        <f t="shared" si="18"/>
        <v/>
      </c>
      <c r="E156" s="575" t="str">
        <f t="shared" si="19"/>
        <v/>
      </c>
      <c r="F156" s="581" t="str">
        <f t="shared" si="20"/>
        <v/>
      </c>
      <c r="G156" s="581" t="str">
        <f t="shared" si="21"/>
        <v/>
      </c>
      <c r="H156" s="552" t="str">
        <f>IF(C156="","",IF(OR($D$9=12,$D$9=6),IF(AND(D$7&gt;0,ROUNDDOWN($D$14/6,0)&gt;=23),23,""),""))</f>
        <v/>
      </c>
      <c r="I156" s="566" t="str">
        <f t="shared" si="22"/>
        <v/>
      </c>
      <c r="J156" s="575" t="str">
        <f t="shared" si="23"/>
        <v/>
      </c>
      <c r="K156" s="581" t="str">
        <f t="shared" si="17"/>
        <v/>
      </c>
      <c r="L156" s="592" t="str">
        <f>IF(OR(L155=0,L155=""),"",IF(AND(H156="",C156=""),"",IF(COUNT(H151:H156)&gt;0,L155-IF(I156="",0,I156),"")))</f>
        <v/>
      </c>
    </row>
    <row r="157" spans="2:12">
      <c r="B157" s="540">
        <v>139</v>
      </c>
      <c r="C157" s="551" t="str">
        <f t="shared" si="16"/>
        <v/>
      </c>
      <c r="D157" s="565" t="str">
        <f t="shared" si="18"/>
        <v/>
      </c>
      <c r="E157" s="574" t="str">
        <f t="shared" si="19"/>
        <v/>
      </c>
      <c r="F157" s="580" t="str">
        <f t="shared" si="20"/>
        <v/>
      </c>
      <c r="G157" s="580" t="str">
        <f t="shared" si="21"/>
        <v/>
      </c>
      <c r="H157" s="551" t="str">
        <f>IF(C157="","",IF(OR($D$9=5,$D$9=11),IF(AND(D$7&gt;0,ROUNDDOWN($D$14/6,0)&gt;=24),24,""),""))</f>
        <v/>
      </c>
      <c r="I157" s="565" t="str">
        <f t="shared" si="22"/>
        <v/>
      </c>
      <c r="J157" s="574" t="str">
        <f t="shared" si="23"/>
        <v/>
      </c>
      <c r="K157" s="580" t="str">
        <f t="shared" si="17"/>
        <v/>
      </c>
      <c r="L157" s="591" t="str">
        <f>IF(OR(L156=0,L156=""),"",IF(AND(H157="",C157=""),"",IF(COUNT(H157:H162)&gt;0,L156-IF(I157="",0,I157),"")))</f>
        <v/>
      </c>
    </row>
    <row r="158" spans="2:12">
      <c r="B158" s="540">
        <v>140</v>
      </c>
      <c r="C158" s="551" t="str">
        <f t="shared" si="16"/>
        <v/>
      </c>
      <c r="D158" s="565" t="str">
        <f t="shared" si="18"/>
        <v/>
      </c>
      <c r="E158" s="574" t="str">
        <f t="shared" si="19"/>
        <v/>
      </c>
      <c r="F158" s="580" t="str">
        <f t="shared" si="20"/>
        <v/>
      </c>
      <c r="G158" s="580" t="str">
        <f t="shared" si="21"/>
        <v/>
      </c>
      <c r="H158" s="551" t="str">
        <f>IF(C158="","",IF(OR($D$9=4,$D$9=10),IF(AND(D$7&gt;0,ROUNDDOWN($D$14/6,0)&gt;=24),24,""),""))</f>
        <v/>
      </c>
      <c r="I158" s="565" t="str">
        <f t="shared" si="22"/>
        <v/>
      </c>
      <c r="J158" s="574" t="str">
        <f t="shared" si="23"/>
        <v/>
      </c>
      <c r="K158" s="580" t="str">
        <f t="shared" si="17"/>
        <v/>
      </c>
      <c r="L158" s="591" t="str">
        <f>IF(OR(L157=0,L157=""),"",IF(AND(H158="",C158=""),"",IF(COUNT(H157:H162)&gt;0,L157-IF(I158="",0,I158),"")))</f>
        <v/>
      </c>
    </row>
    <row r="159" spans="2:12">
      <c r="B159" s="540">
        <v>141</v>
      </c>
      <c r="C159" s="551" t="str">
        <f t="shared" si="16"/>
        <v/>
      </c>
      <c r="D159" s="565" t="str">
        <f t="shared" si="18"/>
        <v/>
      </c>
      <c r="E159" s="574" t="str">
        <f t="shared" si="19"/>
        <v/>
      </c>
      <c r="F159" s="580" t="str">
        <f t="shared" si="20"/>
        <v/>
      </c>
      <c r="G159" s="580" t="str">
        <f t="shared" si="21"/>
        <v/>
      </c>
      <c r="H159" s="551" t="str">
        <f>IF(C159="","",IF(OR($D$9=3,$D$9=9),IF(AND(D$7&gt;0,ROUNDDOWN($D$14/6,0)&gt;=24),24,""),""))</f>
        <v/>
      </c>
      <c r="I159" s="565" t="str">
        <f t="shared" si="22"/>
        <v/>
      </c>
      <c r="J159" s="574" t="str">
        <f t="shared" si="23"/>
        <v/>
      </c>
      <c r="K159" s="580" t="str">
        <f t="shared" si="17"/>
        <v/>
      </c>
      <c r="L159" s="591" t="str">
        <f>IF(OR(L158=0,L158=""),"",IF(AND(H159="",C159=""),"",IF(COUNT(H157:H162)&gt;0,L158-IF(I159="",0,I159),"")))</f>
        <v/>
      </c>
    </row>
    <row r="160" spans="2:12">
      <c r="B160" s="540">
        <v>142</v>
      </c>
      <c r="C160" s="551" t="str">
        <f t="shared" si="16"/>
        <v/>
      </c>
      <c r="D160" s="565" t="str">
        <f t="shared" si="18"/>
        <v/>
      </c>
      <c r="E160" s="574" t="str">
        <f t="shared" si="19"/>
        <v/>
      </c>
      <c r="F160" s="580" t="str">
        <f t="shared" si="20"/>
        <v/>
      </c>
      <c r="G160" s="580" t="str">
        <f t="shared" si="21"/>
        <v/>
      </c>
      <c r="H160" s="551" t="str">
        <f>IF(C160="","",IF(OR($D$9=2,$D$9=8),IF(AND(D$7&gt;0,ROUNDDOWN($D$14/6,0)&gt;=24),24,""),""))</f>
        <v/>
      </c>
      <c r="I160" s="565" t="str">
        <f t="shared" si="22"/>
        <v/>
      </c>
      <c r="J160" s="574" t="str">
        <f t="shared" si="23"/>
        <v/>
      </c>
      <c r="K160" s="580" t="str">
        <f t="shared" si="17"/>
        <v/>
      </c>
      <c r="L160" s="591" t="str">
        <f>IF(OR(L159=0,L159=""),"",IF(AND(H160="",C160=""),"",IF(COUNT(H157:H162)&gt;0,L159-IF(I160="",0,I160),"")))</f>
        <v/>
      </c>
    </row>
    <row r="161" spans="2:12">
      <c r="B161" s="540">
        <v>143</v>
      </c>
      <c r="C161" s="551" t="str">
        <f t="shared" si="16"/>
        <v/>
      </c>
      <c r="D161" s="565" t="str">
        <f t="shared" si="18"/>
        <v/>
      </c>
      <c r="E161" s="574" t="str">
        <f t="shared" si="19"/>
        <v/>
      </c>
      <c r="F161" s="580" t="str">
        <f t="shared" si="20"/>
        <v/>
      </c>
      <c r="G161" s="580" t="str">
        <f t="shared" si="21"/>
        <v/>
      </c>
      <c r="H161" s="551" t="str">
        <f>IF(C161="","",IF(OR($D$9=1,$D$9=7),IF(AND(D$7&gt;0,ROUNDDOWN($D$14/6,0)&gt;=24),24,""),""))</f>
        <v/>
      </c>
      <c r="I161" s="565" t="str">
        <f t="shared" si="22"/>
        <v/>
      </c>
      <c r="J161" s="574" t="str">
        <f t="shared" si="23"/>
        <v/>
      </c>
      <c r="K161" s="580" t="str">
        <f t="shared" si="17"/>
        <v/>
      </c>
      <c r="L161" s="591" t="str">
        <f>IF(OR(L160=0,L160=""),"",IF(AND(H161="",C161=""),"",IF(COUNT(H157:H162)&gt;0,L160-IF(I161="",0,I161),"")))</f>
        <v/>
      </c>
    </row>
    <row r="162" spans="2:12">
      <c r="B162" s="540">
        <v>144</v>
      </c>
      <c r="C162" s="551" t="str">
        <f t="shared" si="16"/>
        <v/>
      </c>
      <c r="D162" s="565" t="str">
        <f t="shared" si="18"/>
        <v/>
      </c>
      <c r="E162" s="574" t="str">
        <f t="shared" si="19"/>
        <v/>
      </c>
      <c r="F162" s="580" t="str">
        <f t="shared" si="20"/>
        <v/>
      </c>
      <c r="G162" s="580" t="str">
        <f t="shared" si="21"/>
        <v/>
      </c>
      <c r="H162" s="551" t="str">
        <f>IF(C162="","",IF(OR($D$9=12,$D$9=6),IF(AND(D$7&gt;0,ROUNDDOWN($D$14/6,0)&gt;=24),24,""),""))</f>
        <v/>
      </c>
      <c r="I162" s="565" t="str">
        <f t="shared" si="22"/>
        <v/>
      </c>
      <c r="J162" s="574" t="str">
        <f t="shared" si="23"/>
        <v/>
      </c>
      <c r="K162" s="580" t="str">
        <f t="shared" si="17"/>
        <v/>
      </c>
      <c r="L162" s="591" t="str">
        <f>IF(OR(L161=0,L161=""),"",IF(AND(H162="",C162=""),"",IF(COUNT(H157:H162)&gt;0,L161-IF(I162="",0,I162),"")))</f>
        <v/>
      </c>
    </row>
    <row r="163" spans="2:12">
      <c r="B163" s="540">
        <v>145</v>
      </c>
      <c r="C163" s="553" t="str">
        <f t="shared" si="16"/>
        <v/>
      </c>
      <c r="D163" s="567" t="str">
        <f t="shared" si="18"/>
        <v/>
      </c>
      <c r="E163" s="576" t="str">
        <f t="shared" si="19"/>
        <v/>
      </c>
      <c r="F163" s="582" t="str">
        <f t="shared" si="20"/>
        <v/>
      </c>
      <c r="G163" s="582" t="str">
        <f t="shared" si="21"/>
        <v/>
      </c>
      <c r="H163" s="553" t="str">
        <f>IF(C163="","",IF(OR($D$9=5,$D$9=11),IF(AND(D$7&gt;0,ROUNDDOWN($D$14/6,0)&gt;=25),25,""),""))</f>
        <v/>
      </c>
      <c r="I163" s="567" t="str">
        <f t="shared" si="22"/>
        <v/>
      </c>
      <c r="J163" s="576" t="str">
        <f t="shared" si="23"/>
        <v/>
      </c>
      <c r="K163" s="582" t="str">
        <f t="shared" si="17"/>
        <v/>
      </c>
      <c r="L163" s="593" t="str">
        <f>IF(OR(L162=0,L162=""),"",IF(AND(H163="",C163=""),"",IF(COUNT(H163:H168)&gt;0,L162-IF(I163="",0,I163),"")))</f>
        <v/>
      </c>
    </row>
    <row r="164" spans="2:12">
      <c r="B164" s="540">
        <v>146</v>
      </c>
      <c r="C164" s="551" t="str">
        <f t="shared" si="16"/>
        <v/>
      </c>
      <c r="D164" s="565" t="str">
        <f t="shared" si="18"/>
        <v/>
      </c>
      <c r="E164" s="574" t="str">
        <f t="shared" si="19"/>
        <v/>
      </c>
      <c r="F164" s="580" t="str">
        <f t="shared" si="20"/>
        <v/>
      </c>
      <c r="G164" s="580" t="str">
        <f t="shared" si="21"/>
        <v/>
      </c>
      <c r="H164" s="551" t="str">
        <f>IF(C164="","",IF(OR($D$9=4,$D$9=10),IF(AND(D$7&gt;0,ROUNDDOWN($D$14/6,0)&gt;=25),25,""),""))</f>
        <v/>
      </c>
      <c r="I164" s="565" t="str">
        <f t="shared" si="22"/>
        <v/>
      </c>
      <c r="J164" s="574" t="str">
        <f t="shared" si="23"/>
        <v/>
      </c>
      <c r="K164" s="580" t="str">
        <f t="shared" si="17"/>
        <v/>
      </c>
      <c r="L164" s="591" t="str">
        <f>IF(OR(L163=0,L163=""),"",IF(AND(H164="",C164=""),"",IF(COUNT(H163:H168)&gt;0,L163-IF(I164="",0,I164),"")))</f>
        <v/>
      </c>
    </row>
    <row r="165" spans="2:12">
      <c r="B165" s="540">
        <v>147</v>
      </c>
      <c r="C165" s="551" t="str">
        <f t="shared" si="16"/>
        <v/>
      </c>
      <c r="D165" s="565" t="str">
        <f t="shared" si="18"/>
        <v/>
      </c>
      <c r="E165" s="574" t="str">
        <f t="shared" si="19"/>
        <v/>
      </c>
      <c r="F165" s="580" t="str">
        <f t="shared" si="20"/>
        <v/>
      </c>
      <c r="G165" s="580" t="str">
        <f t="shared" si="21"/>
        <v/>
      </c>
      <c r="H165" s="551" t="str">
        <f>IF(C165="","",IF(OR($D$9=3,$D$9=9),IF(AND(D$7&gt;0,ROUNDDOWN($D$14/6,0)&gt;=25),25,""),""))</f>
        <v/>
      </c>
      <c r="I165" s="565" t="str">
        <f t="shared" si="22"/>
        <v/>
      </c>
      <c r="J165" s="574" t="str">
        <f t="shared" si="23"/>
        <v/>
      </c>
      <c r="K165" s="580" t="str">
        <f t="shared" si="17"/>
        <v/>
      </c>
      <c r="L165" s="591" t="str">
        <f>IF(OR(L164=0,L164=""),"",IF(AND(H165="",C165=""),"",IF(COUNT(H163:H168)&gt;0,L164-IF(I165="",0,I165),"")))</f>
        <v/>
      </c>
    </row>
    <row r="166" spans="2:12">
      <c r="B166" s="540">
        <v>148</v>
      </c>
      <c r="C166" s="551" t="str">
        <f t="shared" si="16"/>
        <v/>
      </c>
      <c r="D166" s="565" t="str">
        <f t="shared" si="18"/>
        <v/>
      </c>
      <c r="E166" s="574" t="str">
        <f t="shared" si="19"/>
        <v/>
      </c>
      <c r="F166" s="580" t="str">
        <f t="shared" si="20"/>
        <v/>
      </c>
      <c r="G166" s="580" t="str">
        <f t="shared" si="21"/>
        <v/>
      </c>
      <c r="H166" s="551" t="str">
        <f>IF(C166="","",IF(OR($D$9=2,$D$9=8),IF(AND(D$7&gt;0,ROUNDDOWN($D$14/6,0)&gt;=25),25,""),""))</f>
        <v/>
      </c>
      <c r="I166" s="565" t="str">
        <f t="shared" si="22"/>
        <v/>
      </c>
      <c r="J166" s="574" t="str">
        <f t="shared" si="23"/>
        <v/>
      </c>
      <c r="K166" s="580" t="str">
        <f t="shared" si="17"/>
        <v/>
      </c>
      <c r="L166" s="591" t="str">
        <f>IF(OR(L165=0,L165=""),"",IF(AND(H166="",C166=""),"",IF(COUNT(H163:H168)&gt;0,L165-IF(I166="",0,I166),"")))</f>
        <v/>
      </c>
    </row>
    <row r="167" spans="2:12">
      <c r="B167" s="540">
        <v>149</v>
      </c>
      <c r="C167" s="551" t="str">
        <f t="shared" si="16"/>
        <v/>
      </c>
      <c r="D167" s="565" t="str">
        <f t="shared" si="18"/>
        <v/>
      </c>
      <c r="E167" s="574" t="str">
        <f t="shared" si="19"/>
        <v/>
      </c>
      <c r="F167" s="580" t="str">
        <f t="shared" si="20"/>
        <v/>
      </c>
      <c r="G167" s="580" t="str">
        <f t="shared" si="21"/>
        <v/>
      </c>
      <c r="H167" s="551" t="str">
        <f>IF(C167="","",IF(OR($D$9=1,$D$9=7),IF(AND(D$7&gt;0,ROUNDDOWN($D$14/6,0)&gt;=25),25,""),""))</f>
        <v/>
      </c>
      <c r="I167" s="565" t="str">
        <f t="shared" si="22"/>
        <v/>
      </c>
      <c r="J167" s="574" t="str">
        <f t="shared" si="23"/>
        <v/>
      </c>
      <c r="K167" s="580" t="str">
        <f t="shared" si="17"/>
        <v/>
      </c>
      <c r="L167" s="591" t="str">
        <f>IF(OR(L166=0,L166=""),"",IF(AND(H167="",C167=""),"",IF(COUNT(H163:H168)&gt;0,L166-IF(I167="",0,I167),"")))</f>
        <v/>
      </c>
    </row>
    <row r="168" spans="2:12">
      <c r="B168" s="540">
        <v>150</v>
      </c>
      <c r="C168" s="552" t="str">
        <f t="shared" si="16"/>
        <v/>
      </c>
      <c r="D168" s="566" t="str">
        <f t="shared" si="18"/>
        <v/>
      </c>
      <c r="E168" s="575" t="str">
        <f t="shared" si="19"/>
        <v/>
      </c>
      <c r="F168" s="581" t="str">
        <f t="shared" si="20"/>
        <v/>
      </c>
      <c r="G168" s="581" t="str">
        <f t="shared" si="21"/>
        <v/>
      </c>
      <c r="H168" s="552" t="str">
        <f>IF(C168="","",IF(OR($D$9=12,$D$9=6),IF(AND(D$7&gt;0,ROUNDDOWN($D$14/6,0)&gt;=25),25,""),""))</f>
        <v/>
      </c>
      <c r="I168" s="566" t="str">
        <f t="shared" si="22"/>
        <v/>
      </c>
      <c r="J168" s="575" t="str">
        <f t="shared" si="23"/>
        <v/>
      </c>
      <c r="K168" s="581" t="str">
        <f t="shared" si="17"/>
        <v/>
      </c>
      <c r="L168" s="592" t="str">
        <f>IF(OR(L167=0,L167=""),"",IF(AND(H168="",C168=""),"",IF(COUNT(H163:H168)&gt;0,L167-IF(I168="",0,I168),"")))</f>
        <v/>
      </c>
    </row>
    <row r="169" spans="2:12">
      <c r="B169" s="540">
        <v>151</v>
      </c>
      <c r="C169" s="551" t="str">
        <f t="shared" si="16"/>
        <v/>
      </c>
      <c r="D169" s="565" t="str">
        <f t="shared" si="18"/>
        <v/>
      </c>
      <c r="E169" s="574" t="str">
        <f t="shared" si="19"/>
        <v/>
      </c>
      <c r="F169" s="580" t="str">
        <f t="shared" si="20"/>
        <v/>
      </c>
      <c r="G169" s="580" t="str">
        <f t="shared" si="21"/>
        <v/>
      </c>
      <c r="H169" s="551" t="str">
        <f>IF(C169="","",IF(OR($D$9=5,$D$9=11),IF(AND(D$7&gt;0,ROUNDDOWN($D$14/6,0)&gt;=26),26,""),""))</f>
        <v/>
      </c>
      <c r="I169" s="565" t="str">
        <f t="shared" si="22"/>
        <v/>
      </c>
      <c r="J169" s="574" t="str">
        <f t="shared" si="23"/>
        <v/>
      </c>
      <c r="K169" s="580" t="str">
        <f t="shared" si="17"/>
        <v/>
      </c>
      <c r="L169" s="591" t="str">
        <f>IF(OR(L168=0,L168=""),"",IF(AND(H169="",C169=""),"",IF(COUNT(H169:H174)&gt;0,L168-IF(I169="",0,I169),"")))</f>
        <v/>
      </c>
    </row>
    <row r="170" spans="2:12">
      <c r="B170" s="540">
        <v>152</v>
      </c>
      <c r="C170" s="551" t="str">
        <f t="shared" si="16"/>
        <v/>
      </c>
      <c r="D170" s="565" t="str">
        <f t="shared" si="18"/>
        <v/>
      </c>
      <c r="E170" s="574" t="str">
        <f t="shared" si="19"/>
        <v/>
      </c>
      <c r="F170" s="580" t="str">
        <f t="shared" si="20"/>
        <v/>
      </c>
      <c r="G170" s="580" t="str">
        <f t="shared" si="21"/>
        <v/>
      </c>
      <c r="H170" s="551" t="str">
        <f>IF(C170="","",IF(OR($D$9=4,$D$9=10),IF(AND(D$7&gt;0,ROUNDDOWN($D$14/6,0)&gt;=26),26,""),""))</f>
        <v/>
      </c>
      <c r="I170" s="565" t="str">
        <f t="shared" si="22"/>
        <v/>
      </c>
      <c r="J170" s="574" t="str">
        <f t="shared" si="23"/>
        <v/>
      </c>
      <c r="K170" s="580" t="str">
        <f t="shared" si="17"/>
        <v/>
      </c>
      <c r="L170" s="591" t="str">
        <f>IF(OR(L169=0,L169=""),"",IF(AND(H170="",C170=""),"",IF(COUNT(H169:H174)&gt;0,L169-IF(I170="",0,I170),"")))</f>
        <v/>
      </c>
    </row>
    <row r="171" spans="2:12">
      <c r="B171" s="540">
        <v>153</v>
      </c>
      <c r="C171" s="551" t="str">
        <f t="shared" si="16"/>
        <v/>
      </c>
      <c r="D171" s="565" t="str">
        <f t="shared" si="18"/>
        <v/>
      </c>
      <c r="E171" s="574" t="str">
        <f t="shared" si="19"/>
        <v/>
      </c>
      <c r="F171" s="580" t="str">
        <f t="shared" si="20"/>
        <v/>
      </c>
      <c r="G171" s="580" t="str">
        <f t="shared" si="21"/>
        <v/>
      </c>
      <c r="H171" s="551" t="str">
        <f>IF(C171="","",IF(OR($D$9=3,$D$9=9),IF(AND(D$7&gt;0,ROUNDDOWN($D$14/6,0)&gt;=26),26,""),""))</f>
        <v/>
      </c>
      <c r="I171" s="565" t="str">
        <f t="shared" si="22"/>
        <v/>
      </c>
      <c r="J171" s="574" t="str">
        <f t="shared" si="23"/>
        <v/>
      </c>
      <c r="K171" s="580" t="str">
        <f t="shared" si="17"/>
        <v/>
      </c>
      <c r="L171" s="591" t="str">
        <f>IF(OR(L170=0,L170=""),"",IF(AND(H171="",C171=""),"",IF(COUNT(H169:H174)&gt;0,L170-IF(I171="",0,I171),"")))</f>
        <v/>
      </c>
    </row>
    <row r="172" spans="2:12">
      <c r="B172" s="540">
        <v>154</v>
      </c>
      <c r="C172" s="551" t="str">
        <f t="shared" si="16"/>
        <v/>
      </c>
      <c r="D172" s="565" t="str">
        <f t="shared" si="18"/>
        <v/>
      </c>
      <c r="E172" s="574" t="str">
        <f t="shared" si="19"/>
        <v/>
      </c>
      <c r="F172" s="580" t="str">
        <f t="shared" si="20"/>
        <v/>
      </c>
      <c r="G172" s="580" t="str">
        <f t="shared" si="21"/>
        <v/>
      </c>
      <c r="H172" s="551" t="str">
        <f>IF(C172="","",IF(OR($D$9=2,$D$9=8),IF(AND(D$7&gt;0,ROUNDDOWN($D$14/6,0)&gt;=26),26,""),""))</f>
        <v/>
      </c>
      <c r="I172" s="565" t="str">
        <f t="shared" si="22"/>
        <v/>
      </c>
      <c r="J172" s="574" t="str">
        <f t="shared" si="23"/>
        <v/>
      </c>
      <c r="K172" s="580" t="str">
        <f t="shared" si="17"/>
        <v/>
      </c>
      <c r="L172" s="591" t="str">
        <f>IF(OR(L171=0,L171=""),"",IF(AND(H172="",C172=""),"",IF(COUNT(H169:H174)&gt;0,L171-IF(I172="",0,I172),"")))</f>
        <v/>
      </c>
    </row>
    <row r="173" spans="2:12">
      <c r="B173" s="540">
        <v>155</v>
      </c>
      <c r="C173" s="551" t="str">
        <f t="shared" si="16"/>
        <v/>
      </c>
      <c r="D173" s="565" t="str">
        <f t="shared" si="18"/>
        <v/>
      </c>
      <c r="E173" s="574" t="str">
        <f t="shared" si="19"/>
        <v/>
      </c>
      <c r="F173" s="580" t="str">
        <f t="shared" si="20"/>
        <v/>
      </c>
      <c r="G173" s="580" t="str">
        <f t="shared" si="21"/>
        <v/>
      </c>
      <c r="H173" s="551" t="str">
        <f>IF(C173="","",IF(OR($D$9=1,$D$9=7),IF(AND(D$7&gt;0,ROUNDDOWN($D$14/6,0)&gt;=26),26,""),""))</f>
        <v/>
      </c>
      <c r="I173" s="565" t="str">
        <f t="shared" si="22"/>
        <v/>
      </c>
      <c r="J173" s="574" t="str">
        <f t="shared" si="23"/>
        <v/>
      </c>
      <c r="K173" s="580" t="str">
        <f t="shared" si="17"/>
        <v/>
      </c>
      <c r="L173" s="591" t="str">
        <f>IF(OR(L172=0,L172=""),"",IF(AND(H173="",C173=""),"",IF(COUNT(H169:H174)&gt;0,L172-IF(I173="",0,I173),"")))</f>
        <v/>
      </c>
    </row>
    <row r="174" spans="2:12">
      <c r="B174" s="540">
        <v>156</v>
      </c>
      <c r="C174" s="551" t="str">
        <f t="shared" si="16"/>
        <v/>
      </c>
      <c r="D174" s="565" t="str">
        <f t="shared" si="18"/>
        <v/>
      </c>
      <c r="E174" s="574" t="str">
        <f t="shared" si="19"/>
        <v/>
      </c>
      <c r="F174" s="580" t="str">
        <f t="shared" si="20"/>
        <v/>
      </c>
      <c r="G174" s="580" t="str">
        <f t="shared" si="21"/>
        <v/>
      </c>
      <c r="H174" s="551" t="str">
        <f>IF(C174="","",IF(OR($D$9=12,$D$9=6),IF(AND(D$7&gt;0,ROUNDDOWN($D$14/6,0)&gt;=26),26,""),""))</f>
        <v/>
      </c>
      <c r="I174" s="565" t="str">
        <f t="shared" si="22"/>
        <v/>
      </c>
      <c r="J174" s="574" t="str">
        <f t="shared" si="23"/>
        <v/>
      </c>
      <c r="K174" s="580" t="str">
        <f t="shared" si="17"/>
        <v/>
      </c>
      <c r="L174" s="591" t="str">
        <f>IF(OR(L173=0,L173=""),"",IF(AND(H174="",C174=""),"",IF(COUNT(H169:H174)&gt;0,L173-IF(I174="",0,I174),"")))</f>
        <v/>
      </c>
    </row>
    <row r="175" spans="2:12">
      <c r="B175" s="540">
        <v>157</v>
      </c>
      <c r="C175" s="553" t="str">
        <f t="shared" si="16"/>
        <v/>
      </c>
      <c r="D175" s="567" t="str">
        <f t="shared" si="18"/>
        <v/>
      </c>
      <c r="E175" s="576" t="str">
        <f t="shared" si="19"/>
        <v/>
      </c>
      <c r="F175" s="582" t="str">
        <f t="shared" si="20"/>
        <v/>
      </c>
      <c r="G175" s="582" t="str">
        <f t="shared" si="21"/>
        <v/>
      </c>
      <c r="H175" s="553" t="str">
        <f>IF(C175="","",IF(OR($D$9=5,$D$9=11),IF(AND(D$7&gt;0,ROUNDDOWN($D$14/6,0)&gt;=27),27,""),""))</f>
        <v/>
      </c>
      <c r="I175" s="567" t="str">
        <f t="shared" si="22"/>
        <v/>
      </c>
      <c r="J175" s="576" t="str">
        <f t="shared" si="23"/>
        <v/>
      </c>
      <c r="K175" s="582" t="str">
        <f t="shared" si="17"/>
        <v/>
      </c>
      <c r="L175" s="593" t="str">
        <f>IF(OR(L174=0,L174=""),"",IF(AND(H175="",C175=""),"",IF(COUNT(H175:H180)&gt;0,L174-IF(I175="",0,I175),"")))</f>
        <v/>
      </c>
    </row>
    <row r="176" spans="2:12">
      <c r="B176" s="540">
        <v>158</v>
      </c>
      <c r="C176" s="551" t="str">
        <f t="shared" si="16"/>
        <v/>
      </c>
      <c r="D176" s="565" t="str">
        <f t="shared" si="18"/>
        <v/>
      </c>
      <c r="E176" s="574" t="str">
        <f t="shared" si="19"/>
        <v/>
      </c>
      <c r="F176" s="580" t="str">
        <f t="shared" si="20"/>
        <v/>
      </c>
      <c r="G176" s="580" t="str">
        <f t="shared" si="21"/>
        <v/>
      </c>
      <c r="H176" s="551" t="str">
        <f>IF(C176="","",IF(OR($D$9=4,$D$9=10),IF(AND(D$7&gt;0,ROUNDDOWN($D$14/6,0)&gt;=27),27,""),""))</f>
        <v/>
      </c>
      <c r="I176" s="565" t="str">
        <f t="shared" si="22"/>
        <v/>
      </c>
      <c r="J176" s="574" t="str">
        <f t="shared" si="23"/>
        <v/>
      </c>
      <c r="K176" s="580" t="str">
        <f t="shared" si="17"/>
        <v/>
      </c>
      <c r="L176" s="591" t="str">
        <f>IF(OR(L175=0,L175=""),"",IF(AND(H176="",C176=""),"",IF(COUNT(H175:H180)&gt;0,L175-IF(I176="",0,I176),"")))</f>
        <v/>
      </c>
    </row>
    <row r="177" spans="2:12">
      <c r="B177" s="540">
        <v>159</v>
      </c>
      <c r="C177" s="551" t="str">
        <f t="shared" si="16"/>
        <v/>
      </c>
      <c r="D177" s="565" t="str">
        <f t="shared" si="18"/>
        <v/>
      </c>
      <c r="E177" s="574" t="str">
        <f t="shared" si="19"/>
        <v/>
      </c>
      <c r="F177" s="580" t="str">
        <f t="shared" si="20"/>
        <v/>
      </c>
      <c r="G177" s="580" t="str">
        <f t="shared" si="21"/>
        <v/>
      </c>
      <c r="H177" s="551" t="str">
        <f>IF(C177="","",IF(OR($D$9=3,$D$9=9),IF(AND(D$7&gt;0,ROUNDDOWN($D$14/6,0)&gt;=27),27,""),""))</f>
        <v/>
      </c>
      <c r="I177" s="565" t="str">
        <f t="shared" si="22"/>
        <v/>
      </c>
      <c r="J177" s="574" t="str">
        <f t="shared" si="23"/>
        <v/>
      </c>
      <c r="K177" s="580" t="str">
        <f t="shared" si="17"/>
        <v/>
      </c>
      <c r="L177" s="591" t="str">
        <f>IF(OR(L176=0,L176=""),"",IF(AND(H177="",C177=""),"",IF(COUNT(H175:H180)&gt;0,L176-IF(I177="",0,I177),"")))</f>
        <v/>
      </c>
    </row>
    <row r="178" spans="2:12">
      <c r="B178" s="540">
        <v>160</v>
      </c>
      <c r="C178" s="551" t="str">
        <f t="shared" si="16"/>
        <v/>
      </c>
      <c r="D178" s="565" t="str">
        <f t="shared" si="18"/>
        <v/>
      </c>
      <c r="E178" s="574" t="str">
        <f t="shared" si="19"/>
        <v/>
      </c>
      <c r="F178" s="580" t="str">
        <f t="shared" si="20"/>
        <v/>
      </c>
      <c r="G178" s="580" t="str">
        <f t="shared" si="21"/>
        <v/>
      </c>
      <c r="H178" s="551" t="str">
        <f>IF(C178="","",IF(OR($D$9=2,$D$9=8),IF(AND(D$7&gt;0,ROUNDDOWN($D$14/6,0)&gt;=27),27,""),""))</f>
        <v/>
      </c>
      <c r="I178" s="565" t="str">
        <f t="shared" si="22"/>
        <v/>
      </c>
      <c r="J178" s="574" t="str">
        <f t="shared" si="23"/>
        <v/>
      </c>
      <c r="K178" s="580" t="str">
        <f t="shared" si="17"/>
        <v/>
      </c>
      <c r="L178" s="591" t="str">
        <f>IF(OR(L177=0,L177=""),"",IF(AND(H178="",C178=""),"",IF(COUNT(H175:H180)&gt;0,L177-IF(I178="",0,I178),"")))</f>
        <v/>
      </c>
    </row>
    <row r="179" spans="2:12">
      <c r="B179" s="540">
        <v>161</v>
      </c>
      <c r="C179" s="551" t="str">
        <f t="shared" si="16"/>
        <v/>
      </c>
      <c r="D179" s="565" t="str">
        <f t="shared" si="18"/>
        <v/>
      </c>
      <c r="E179" s="574" t="str">
        <f t="shared" si="19"/>
        <v/>
      </c>
      <c r="F179" s="580" t="str">
        <f t="shared" si="20"/>
        <v/>
      </c>
      <c r="G179" s="580" t="str">
        <f t="shared" si="21"/>
        <v/>
      </c>
      <c r="H179" s="551" t="str">
        <f>IF(C179="","",IF(OR($D$9=1,$D$9=7),IF(AND(D$7&gt;0,ROUNDDOWN($D$14/6,0)&gt;=27),27,""),""))</f>
        <v/>
      </c>
      <c r="I179" s="565" t="str">
        <f t="shared" si="22"/>
        <v/>
      </c>
      <c r="J179" s="574" t="str">
        <f t="shared" si="23"/>
        <v/>
      </c>
      <c r="K179" s="580" t="str">
        <f t="shared" si="17"/>
        <v/>
      </c>
      <c r="L179" s="591" t="str">
        <f>IF(OR(L178=0,L178=""),"",IF(AND(H179="",C179=""),"",IF(COUNT(H175:H180)&gt;0,L178-IF(I179="",0,I179),"")))</f>
        <v/>
      </c>
    </row>
    <row r="180" spans="2:12">
      <c r="B180" s="540">
        <v>162</v>
      </c>
      <c r="C180" s="552" t="str">
        <f t="shared" si="16"/>
        <v/>
      </c>
      <c r="D180" s="566" t="str">
        <f t="shared" si="18"/>
        <v/>
      </c>
      <c r="E180" s="575" t="str">
        <f t="shared" si="19"/>
        <v/>
      </c>
      <c r="F180" s="581" t="str">
        <f t="shared" si="20"/>
        <v/>
      </c>
      <c r="G180" s="581" t="str">
        <f t="shared" si="21"/>
        <v/>
      </c>
      <c r="H180" s="552" t="str">
        <f>IF(C180="","",IF(OR($D$9=12,$D$9=6),IF(AND(D$7&gt;0,ROUNDDOWN($D$14/6,0)&gt;=27),27,""),""))</f>
        <v/>
      </c>
      <c r="I180" s="566" t="str">
        <f t="shared" si="22"/>
        <v/>
      </c>
      <c r="J180" s="575" t="str">
        <f t="shared" si="23"/>
        <v/>
      </c>
      <c r="K180" s="581" t="str">
        <f t="shared" si="17"/>
        <v/>
      </c>
      <c r="L180" s="592" t="str">
        <f>IF(OR(L179=0,L179=""),"",IF(AND(H180="",C180=""),"",IF(COUNT(H175:H180)&gt;0,L179-IF(I180="",0,I180),"")))</f>
        <v/>
      </c>
    </row>
    <row r="181" spans="2:12">
      <c r="B181" s="540">
        <v>163</v>
      </c>
      <c r="C181" s="551" t="str">
        <f t="shared" si="16"/>
        <v/>
      </c>
      <c r="D181" s="565" t="str">
        <f t="shared" si="18"/>
        <v/>
      </c>
      <c r="E181" s="574" t="str">
        <f t="shared" si="19"/>
        <v/>
      </c>
      <c r="F181" s="580" t="str">
        <f t="shared" si="20"/>
        <v/>
      </c>
      <c r="G181" s="580" t="str">
        <f t="shared" si="21"/>
        <v/>
      </c>
      <c r="H181" s="551" t="str">
        <f>IF(C181="","",IF(OR($D$9=5,$D$9=11),IF(AND(D$7&gt;0,ROUNDDOWN($D$14/6,0)&gt;=28),28,""),""))</f>
        <v/>
      </c>
      <c r="I181" s="565" t="str">
        <f t="shared" si="22"/>
        <v/>
      </c>
      <c r="J181" s="574" t="str">
        <f t="shared" si="23"/>
        <v/>
      </c>
      <c r="K181" s="580" t="str">
        <f t="shared" si="17"/>
        <v/>
      </c>
      <c r="L181" s="591" t="str">
        <f>IF(OR(L180=0,L180=""),"",IF(AND(H181="",C181=""),"",IF(COUNT(H181:H186)&gt;0,L180-IF(I181="",0,I181),"")))</f>
        <v/>
      </c>
    </row>
    <row r="182" spans="2:12">
      <c r="B182" s="540">
        <v>164</v>
      </c>
      <c r="C182" s="551" t="str">
        <f t="shared" si="16"/>
        <v/>
      </c>
      <c r="D182" s="565" t="str">
        <f t="shared" si="18"/>
        <v/>
      </c>
      <c r="E182" s="574" t="str">
        <f t="shared" si="19"/>
        <v/>
      </c>
      <c r="F182" s="580" t="str">
        <f t="shared" si="20"/>
        <v/>
      </c>
      <c r="G182" s="580" t="str">
        <f t="shared" si="21"/>
        <v/>
      </c>
      <c r="H182" s="551" t="str">
        <f>IF(C182="","",IF(OR($D$9=4,$D$9=10),IF(AND(D$7&gt;0,ROUNDDOWN($D$14/6,0)&gt;=28),28,""),""))</f>
        <v/>
      </c>
      <c r="I182" s="565" t="str">
        <f t="shared" si="22"/>
        <v/>
      </c>
      <c r="J182" s="574" t="str">
        <f t="shared" si="23"/>
        <v/>
      </c>
      <c r="K182" s="580" t="str">
        <f t="shared" si="17"/>
        <v/>
      </c>
      <c r="L182" s="591" t="str">
        <f>IF(OR(L181=0,L181=""),"",IF(AND(H182="",C182=""),"",IF(COUNT(H181:H186)&gt;0,L181-IF(I182="",0,I182),"")))</f>
        <v/>
      </c>
    </row>
    <row r="183" spans="2:12">
      <c r="B183" s="540">
        <v>165</v>
      </c>
      <c r="C183" s="551" t="str">
        <f t="shared" si="16"/>
        <v/>
      </c>
      <c r="D183" s="565" t="str">
        <f t="shared" si="18"/>
        <v/>
      </c>
      <c r="E183" s="574" t="str">
        <f t="shared" si="19"/>
        <v/>
      </c>
      <c r="F183" s="580" t="str">
        <f t="shared" si="20"/>
        <v/>
      </c>
      <c r="G183" s="580" t="str">
        <f t="shared" si="21"/>
        <v/>
      </c>
      <c r="H183" s="551" t="str">
        <f>IF(C183="","",IF(OR($D$9=3,$D$9=9),IF(AND(D$7&gt;0,ROUNDDOWN($D$14/6,0)&gt;=28),28,""),""))</f>
        <v/>
      </c>
      <c r="I183" s="565" t="str">
        <f t="shared" si="22"/>
        <v/>
      </c>
      <c r="J183" s="574" t="str">
        <f t="shared" si="23"/>
        <v/>
      </c>
      <c r="K183" s="580" t="str">
        <f t="shared" si="17"/>
        <v/>
      </c>
      <c r="L183" s="591" t="str">
        <f>IF(OR(L182=0,L182=""),"",IF(AND(H183="",C183=""),"",IF(COUNT(H181:H186)&gt;0,L182-IF(I183="",0,I183),"")))</f>
        <v/>
      </c>
    </row>
    <row r="184" spans="2:12">
      <c r="B184" s="540">
        <v>166</v>
      </c>
      <c r="C184" s="551" t="str">
        <f t="shared" si="16"/>
        <v/>
      </c>
      <c r="D184" s="565" t="str">
        <f t="shared" si="18"/>
        <v/>
      </c>
      <c r="E184" s="574" t="str">
        <f t="shared" si="19"/>
        <v/>
      </c>
      <c r="F184" s="580" t="str">
        <f t="shared" si="20"/>
        <v/>
      </c>
      <c r="G184" s="580" t="str">
        <f t="shared" si="21"/>
        <v/>
      </c>
      <c r="H184" s="551" t="str">
        <f>IF(C184="","",IF(OR($D$9=2,$D$9=8),IF(AND(D$7&gt;0,ROUNDDOWN($D$14/6,0)&gt;=28),28,""),""))</f>
        <v/>
      </c>
      <c r="I184" s="565" t="str">
        <f t="shared" si="22"/>
        <v/>
      </c>
      <c r="J184" s="574" t="str">
        <f t="shared" si="23"/>
        <v/>
      </c>
      <c r="K184" s="580" t="str">
        <f t="shared" si="17"/>
        <v/>
      </c>
      <c r="L184" s="591" t="str">
        <f>IF(OR(L183=0,L183=""),"",IF(AND(H184="",C184=""),"",IF(COUNT(H181:H186)&gt;0,L183-IF(I184="",0,I184),"")))</f>
        <v/>
      </c>
    </row>
    <row r="185" spans="2:12">
      <c r="B185" s="540">
        <v>167</v>
      </c>
      <c r="C185" s="551" t="str">
        <f t="shared" si="16"/>
        <v/>
      </c>
      <c r="D185" s="565" t="str">
        <f t="shared" si="18"/>
        <v/>
      </c>
      <c r="E185" s="574" t="str">
        <f t="shared" si="19"/>
        <v/>
      </c>
      <c r="F185" s="580" t="str">
        <f t="shared" si="20"/>
        <v/>
      </c>
      <c r="G185" s="580" t="str">
        <f t="shared" si="21"/>
        <v/>
      </c>
      <c r="H185" s="551" t="str">
        <f>IF(C185="","",IF(OR($D$9=1,$D$9=7),IF(AND(D$7&gt;0,ROUNDDOWN($D$14/6,0)&gt;=28),28,""),""))</f>
        <v/>
      </c>
      <c r="I185" s="565" t="str">
        <f t="shared" si="22"/>
        <v/>
      </c>
      <c r="J185" s="574" t="str">
        <f t="shared" si="23"/>
        <v/>
      </c>
      <c r="K185" s="580" t="str">
        <f t="shared" si="17"/>
        <v/>
      </c>
      <c r="L185" s="591" t="str">
        <f>IF(OR(L184=0,L184=""),"",IF(AND(H185="",C185=""),"",IF(COUNT(H181:H186)&gt;0,L184-IF(I185="",0,I185),"")))</f>
        <v/>
      </c>
    </row>
    <row r="186" spans="2:12">
      <c r="B186" s="540">
        <v>168</v>
      </c>
      <c r="C186" s="551" t="str">
        <f t="shared" si="16"/>
        <v/>
      </c>
      <c r="D186" s="565" t="str">
        <f t="shared" si="18"/>
        <v/>
      </c>
      <c r="E186" s="574" t="str">
        <f t="shared" si="19"/>
        <v/>
      </c>
      <c r="F186" s="580" t="str">
        <f t="shared" si="20"/>
        <v/>
      </c>
      <c r="G186" s="580" t="str">
        <f t="shared" si="21"/>
        <v/>
      </c>
      <c r="H186" s="551" t="str">
        <f>IF(C186="","",IF(OR($D$9=12,$D$9=6),IF(AND(D$7&gt;0,ROUNDDOWN($D$14/6,0)&gt;=28),28,""),""))</f>
        <v/>
      </c>
      <c r="I186" s="565" t="str">
        <f t="shared" si="22"/>
        <v/>
      </c>
      <c r="J186" s="574" t="str">
        <f t="shared" si="23"/>
        <v/>
      </c>
      <c r="K186" s="580" t="str">
        <f t="shared" si="17"/>
        <v/>
      </c>
      <c r="L186" s="591" t="str">
        <f>IF(OR(L185=0,L185=""),"",IF(AND(H186="",C186=""),"",IF(COUNT(H181:H186)&gt;0,L185-IF(I186="",0,I186),"")))</f>
        <v/>
      </c>
    </row>
    <row r="187" spans="2:12">
      <c r="B187" s="540">
        <v>169</v>
      </c>
      <c r="C187" s="553" t="str">
        <f t="shared" si="16"/>
        <v/>
      </c>
      <c r="D187" s="567" t="str">
        <f t="shared" si="18"/>
        <v/>
      </c>
      <c r="E187" s="576" t="str">
        <f t="shared" si="19"/>
        <v/>
      </c>
      <c r="F187" s="582" t="str">
        <f t="shared" si="20"/>
        <v/>
      </c>
      <c r="G187" s="582" t="str">
        <f t="shared" si="21"/>
        <v/>
      </c>
      <c r="H187" s="553" t="str">
        <f>IF(C187="","",IF(OR($D$9=5,$D$9=11),IF(AND(D$7&gt;0,ROUNDDOWN($D$14/6,0)&gt;=29),29,""),""))</f>
        <v/>
      </c>
      <c r="I187" s="567" t="str">
        <f t="shared" si="22"/>
        <v/>
      </c>
      <c r="J187" s="576" t="str">
        <f t="shared" si="23"/>
        <v/>
      </c>
      <c r="K187" s="582" t="str">
        <f t="shared" si="17"/>
        <v/>
      </c>
      <c r="L187" s="593" t="str">
        <f>IF(OR(L186=0,L186=""),"",IF(AND(H187="",C187=""),"",IF(COUNT(H187:H192)&gt;0,L186-IF(I187="",0,I187),"")))</f>
        <v/>
      </c>
    </row>
    <row r="188" spans="2:12">
      <c r="B188" s="540">
        <v>170</v>
      </c>
      <c r="C188" s="551" t="str">
        <f t="shared" si="16"/>
        <v/>
      </c>
      <c r="D188" s="565" t="str">
        <f t="shared" si="18"/>
        <v/>
      </c>
      <c r="E188" s="574" t="str">
        <f t="shared" si="19"/>
        <v/>
      </c>
      <c r="F188" s="580" t="str">
        <f t="shared" si="20"/>
        <v/>
      </c>
      <c r="G188" s="580" t="str">
        <f t="shared" si="21"/>
        <v/>
      </c>
      <c r="H188" s="551" t="str">
        <f>IF(C188="","",IF(OR($D$9=4,$D$9=10),IF(AND(D$7&gt;0,ROUNDDOWN($D$14/6,0)&gt;=29),29,""),""))</f>
        <v/>
      </c>
      <c r="I188" s="565" t="str">
        <f t="shared" si="22"/>
        <v/>
      </c>
      <c r="J188" s="574" t="str">
        <f t="shared" si="23"/>
        <v/>
      </c>
      <c r="K188" s="580" t="str">
        <f t="shared" si="17"/>
        <v/>
      </c>
      <c r="L188" s="591" t="str">
        <f>IF(OR(L187=0,L187=""),"",IF(AND(H188="",C188=""),"",IF(COUNT(H187:H192)&gt;0,L187-IF(I188="",0,I188),"")))</f>
        <v/>
      </c>
    </row>
    <row r="189" spans="2:12">
      <c r="B189" s="540">
        <v>171</v>
      </c>
      <c r="C189" s="551" t="str">
        <f t="shared" si="16"/>
        <v/>
      </c>
      <c r="D189" s="565" t="str">
        <f t="shared" si="18"/>
        <v/>
      </c>
      <c r="E189" s="574" t="str">
        <f t="shared" si="19"/>
        <v/>
      </c>
      <c r="F189" s="580" t="str">
        <f t="shared" si="20"/>
        <v/>
      </c>
      <c r="G189" s="580" t="str">
        <f t="shared" si="21"/>
        <v/>
      </c>
      <c r="H189" s="551" t="str">
        <f>IF(C189="","",IF(OR($D$9=3,$D$9=9),IF(AND(D$7&gt;0,ROUNDDOWN($D$14/6,0)&gt;=29),29,""),""))</f>
        <v/>
      </c>
      <c r="I189" s="565" t="str">
        <f t="shared" si="22"/>
        <v/>
      </c>
      <c r="J189" s="574" t="str">
        <f t="shared" si="23"/>
        <v/>
      </c>
      <c r="K189" s="580" t="str">
        <f t="shared" si="17"/>
        <v/>
      </c>
      <c r="L189" s="591" t="str">
        <f>IF(OR(L188=0,L188=""),"",IF(AND(H189="",C189=""),"",IF(COUNT(H187:H192)&gt;0,L188-IF(I189="",0,I189),"")))</f>
        <v/>
      </c>
    </row>
    <row r="190" spans="2:12">
      <c r="B190" s="540">
        <v>172</v>
      </c>
      <c r="C190" s="551" t="str">
        <f t="shared" si="16"/>
        <v/>
      </c>
      <c r="D190" s="565" t="str">
        <f t="shared" si="18"/>
        <v/>
      </c>
      <c r="E190" s="574" t="str">
        <f t="shared" si="19"/>
        <v/>
      </c>
      <c r="F190" s="580" t="str">
        <f t="shared" si="20"/>
        <v/>
      </c>
      <c r="G190" s="580" t="str">
        <f t="shared" si="21"/>
        <v/>
      </c>
      <c r="H190" s="551" t="str">
        <f>IF(C190="","",IF(OR($D$9=2,$D$9=8),IF(AND(D$7&gt;0,ROUNDDOWN($D$14/6,0)&gt;=29),29,""),""))</f>
        <v/>
      </c>
      <c r="I190" s="565" t="str">
        <f t="shared" si="22"/>
        <v/>
      </c>
      <c r="J190" s="574" t="str">
        <f t="shared" si="23"/>
        <v/>
      </c>
      <c r="K190" s="580" t="str">
        <f t="shared" si="17"/>
        <v/>
      </c>
      <c r="L190" s="591" t="str">
        <f>IF(OR(L189=0,L189=""),"",IF(AND(H190="",C190=""),"",IF(COUNT(H187:H192)&gt;0,L189-IF(I190="",0,I190),"")))</f>
        <v/>
      </c>
    </row>
    <row r="191" spans="2:12">
      <c r="B191" s="540">
        <v>173</v>
      </c>
      <c r="C191" s="551" t="str">
        <f t="shared" si="16"/>
        <v/>
      </c>
      <c r="D191" s="565" t="str">
        <f t="shared" si="18"/>
        <v/>
      </c>
      <c r="E191" s="574" t="str">
        <f t="shared" si="19"/>
        <v/>
      </c>
      <c r="F191" s="580" t="str">
        <f t="shared" si="20"/>
        <v/>
      </c>
      <c r="G191" s="580" t="str">
        <f t="shared" si="21"/>
        <v/>
      </c>
      <c r="H191" s="551" t="str">
        <f>IF(C191="","",IF(OR($D$9=1,$D$9=7),IF(AND(D$7&gt;0,ROUNDDOWN($D$14/6,0)&gt;=29),29,""),""))</f>
        <v/>
      </c>
      <c r="I191" s="565" t="str">
        <f t="shared" si="22"/>
        <v/>
      </c>
      <c r="J191" s="574" t="str">
        <f t="shared" si="23"/>
        <v/>
      </c>
      <c r="K191" s="580" t="str">
        <f t="shared" si="17"/>
        <v/>
      </c>
      <c r="L191" s="591" t="str">
        <f>IF(OR(L190=0,L190=""),"",IF(AND(H191="",C191=""),"",IF(COUNT(H187:H192)&gt;0,L190-IF(I191="",0,I191),"")))</f>
        <v/>
      </c>
    </row>
    <row r="192" spans="2:12">
      <c r="B192" s="540">
        <v>174</v>
      </c>
      <c r="C192" s="552" t="str">
        <f t="shared" si="16"/>
        <v/>
      </c>
      <c r="D192" s="566" t="str">
        <f t="shared" si="18"/>
        <v/>
      </c>
      <c r="E192" s="575" t="str">
        <f t="shared" si="19"/>
        <v/>
      </c>
      <c r="F192" s="581" t="str">
        <f t="shared" si="20"/>
        <v/>
      </c>
      <c r="G192" s="581" t="str">
        <f t="shared" si="21"/>
        <v/>
      </c>
      <c r="H192" s="552" t="str">
        <f>IF(C192="","",IF(OR($D$9=12,$D$9=6),IF(AND(D$7&gt;0,ROUNDDOWN($D$14/6,0)&gt;=29),29,""),""))</f>
        <v/>
      </c>
      <c r="I192" s="566" t="str">
        <f t="shared" si="22"/>
        <v/>
      </c>
      <c r="J192" s="575" t="str">
        <f t="shared" si="23"/>
        <v/>
      </c>
      <c r="K192" s="581" t="str">
        <f t="shared" si="17"/>
        <v/>
      </c>
      <c r="L192" s="592" t="str">
        <f>IF(OR(L191=0,L191=""),"",IF(AND(H192="",C192=""),"",IF(COUNT(H187:H192)&gt;0,L191-IF(I192="",0,I192),"")))</f>
        <v/>
      </c>
    </row>
    <row r="193" spans="2:12">
      <c r="B193" s="540">
        <v>175</v>
      </c>
      <c r="C193" s="551" t="str">
        <f t="shared" si="16"/>
        <v/>
      </c>
      <c r="D193" s="565" t="str">
        <f t="shared" si="18"/>
        <v/>
      </c>
      <c r="E193" s="574" t="str">
        <f t="shared" si="19"/>
        <v/>
      </c>
      <c r="F193" s="580" t="str">
        <f t="shared" si="20"/>
        <v/>
      </c>
      <c r="G193" s="580" t="str">
        <f t="shared" si="21"/>
        <v/>
      </c>
      <c r="H193" s="551" t="str">
        <f>IF(C193="","",IF(OR($D$9=5,$D$9=11),IF(AND(D$7&gt;0,ROUNDDOWN($D$14/6,0)&gt;=30),30,""),""))</f>
        <v/>
      </c>
      <c r="I193" s="565" t="str">
        <f t="shared" si="22"/>
        <v/>
      </c>
      <c r="J193" s="574" t="str">
        <f t="shared" si="23"/>
        <v/>
      </c>
      <c r="K193" s="580" t="str">
        <f t="shared" si="17"/>
        <v/>
      </c>
      <c r="L193" s="591" t="str">
        <f>IF(OR(L192=0,L192=""),"",IF(AND(H193="",C193=""),"",IF(COUNT(H193:H198)&gt;0,L192-IF(I193="",0,I193),"")))</f>
        <v/>
      </c>
    </row>
    <row r="194" spans="2:12">
      <c r="B194" s="540">
        <v>176</v>
      </c>
      <c r="C194" s="551" t="str">
        <f t="shared" si="16"/>
        <v/>
      </c>
      <c r="D194" s="565" t="str">
        <f t="shared" si="18"/>
        <v/>
      </c>
      <c r="E194" s="574" t="str">
        <f t="shared" si="19"/>
        <v/>
      </c>
      <c r="F194" s="580" t="str">
        <f t="shared" si="20"/>
        <v/>
      </c>
      <c r="G194" s="580" t="str">
        <f t="shared" si="21"/>
        <v/>
      </c>
      <c r="H194" s="551" t="str">
        <f>IF(C194="","",IF(OR($D$9=4,$D$9=10),IF(AND(D$7&gt;0,ROUNDDOWN($D$14/6,0)&gt;=30),30,""),""))</f>
        <v/>
      </c>
      <c r="I194" s="565" t="str">
        <f t="shared" si="22"/>
        <v/>
      </c>
      <c r="J194" s="574" t="str">
        <f t="shared" si="23"/>
        <v/>
      </c>
      <c r="K194" s="580" t="str">
        <f t="shared" si="17"/>
        <v/>
      </c>
      <c r="L194" s="591" t="str">
        <f>IF(OR(L193=0,L193=""),"",IF(AND(H194="",C194=""),"",IF(COUNT(H193:H198)&gt;0,L193-IF(I194="",0,I194),"")))</f>
        <v/>
      </c>
    </row>
    <row r="195" spans="2:12">
      <c r="B195" s="540">
        <v>177</v>
      </c>
      <c r="C195" s="551" t="str">
        <f t="shared" si="16"/>
        <v/>
      </c>
      <c r="D195" s="565" t="str">
        <f t="shared" si="18"/>
        <v/>
      </c>
      <c r="E195" s="574" t="str">
        <f t="shared" si="19"/>
        <v/>
      </c>
      <c r="F195" s="580" t="str">
        <f t="shared" si="20"/>
        <v/>
      </c>
      <c r="G195" s="580" t="str">
        <f t="shared" si="21"/>
        <v/>
      </c>
      <c r="H195" s="551" t="str">
        <f>IF(C195="","",IF(OR($D$9=3,$D$9=9),IF(AND(D$7&gt;0,ROUNDDOWN($D$14/6,0)&gt;=30),30,""),""))</f>
        <v/>
      </c>
      <c r="I195" s="565" t="str">
        <f t="shared" si="22"/>
        <v/>
      </c>
      <c r="J195" s="574" t="str">
        <f t="shared" si="23"/>
        <v/>
      </c>
      <c r="K195" s="580" t="str">
        <f t="shared" si="17"/>
        <v/>
      </c>
      <c r="L195" s="591" t="str">
        <f>IF(OR(L194=0,L194=""),"",IF(AND(H195="",C195=""),"",IF(COUNT(H193:H198)&gt;0,L194-IF(I195="",0,I195),"")))</f>
        <v/>
      </c>
    </row>
    <row r="196" spans="2:12">
      <c r="B196" s="540">
        <v>178</v>
      </c>
      <c r="C196" s="551" t="str">
        <f t="shared" si="16"/>
        <v/>
      </c>
      <c r="D196" s="565" t="str">
        <f t="shared" si="18"/>
        <v/>
      </c>
      <c r="E196" s="574" t="str">
        <f t="shared" si="19"/>
        <v/>
      </c>
      <c r="F196" s="580" t="str">
        <f t="shared" si="20"/>
        <v/>
      </c>
      <c r="G196" s="580" t="str">
        <f t="shared" si="21"/>
        <v/>
      </c>
      <c r="H196" s="551" t="str">
        <f>IF(C196="","",IF(OR($D$9=2,$D$9=8),IF(AND(D$7&gt;0,ROUNDDOWN($D$14/6,0)&gt;=30),30,""),""))</f>
        <v/>
      </c>
      <c r="I196" s="565" t="str">
        <f t="shared" si="22"/>
        <v/>
      </c>
      <c r="J196" s="574" t="str">
        <f t="shared" si="23"/>
        <v/>
      </c>
      <c r="K196" s="580" t="str">
        <f t="shared" si="17"/>
        <v/>
      </c>
      <c r="L196" s="591" t="str">
        <f>IF(OR(L195=0,L195=""),"",IF(AND(H196="",C196=""),"",IF(COUNT(H193:H198)&gt;0,L195-IF(I196="",0,I196),"")))</f>
        <v/>
      </c>
    </row>
    <row r="197" spans="2:12">
      <c r="B197" s="540">
        <v>179</v>
      </c>
      <c r="C197" s="551" t="str">
        <f t="shared" si="16"/>
        <v/>
      </c>
      <c r="D197" s="565" t="str">
        <f t="shared" si="18"/>
        <v/>
      </c>
      <c r="E197" s="574" t="str">
        <f t="shared" si="19"/>
        <v/>
      </c>
      <c r="F197" s="580" t="str">
        <f t="shared" si="20"/>
        <v/>
      </c>
      <c r="G197" s="580" t="str">
        <f t="shared" si="21"/>
        <v/>
      </c>
      <c r="H197" s="551" t="str">
        <f>IF(C197="","",IF(OR($D$9=1,$D$9=7),IF(AND(D$7&gt;0,ROUNDDOWN($D$14/6,0)&gt;=30),30,""),""))</f>
        <v/>
      </c>
      <c r="I197" s="565" t="str">
        <f t="shared" si="22"/>
        <v/>
      </c>
      <c r="J197" s="574" t="str">
        <f t="shared" si="23"/>
        <v/>
      </c>
      <c r="K197" s="580" t="str">
        <f t="shared" si="17"/>
        <v/>
      </c>
      <c r="L197" s="591" t="str">
        <f>IF(OR(L196=0,L196=""),"",IF(AND(H197="",C197=""),"",IF(COUNT(H193:H198)&gt;0,L196-IF(I197="",0,I197),"")))</f>
        <v/>
      </c>
    </row>
    <row r="198" spans="2:12">
      <c r="B198" s="540">
        <v>180</v>
      </c>
      <c r="C198" s="551" t="str">
        <f t="shared" si="16"/>
        <v/>
      </c>
      <c r="D198" s="565" t="str">
        <f t="shared" si="18"/>
        <v/>
      </c>
      <c r="E198" s="574" t="str">
        <f t="shared" si="19"/>
        <v/>
      </c>
      <c r="F198" s="580" t="str">
        <f t="shared" si="20"/>
        <v/>
      </c>
      <c r="G198" s="580" t="str">
        <f t="shared" si="21"/>
        <v/>
      </c>
      <c r="H198" s="551" t="str">
        <f>IF(C198="","",IF(OR($D$9=12,$D$9=6),IF(AND(D$7&gt;0,ROUNDDOWN($D$14/6,0)&gt;=30),30,""),""))</f>
        <v/>
      </c>
      <c r="I198" s="565" t="str">
        <f t="shared" si="22"/>
        <v/>
      </c>
      <c r="J198" s="574" t="str">
        <f t="shared" si="23"/>
        <v/>
      </c>
      <c r="K198" s="580" t="str">
        <f t="shared" si="17"/>
        <v/>
      </c>
      <c r="L198" s="591" t="str">
        <f>IF(OR(L197=0,L197=""),"",IF(AND(H198="",C198=""),"",IF(COUNT(H193:H198)&gt;0,L197-IF(I198="",0,I198),"")))</f>
        <v/>
      </c>
    </row>
    <row r="199" spans="2:12">
      <c r="B199" s="540">
        <v>181</v>
      </c>
      <c r="C199" s="553" t="str">
        <f t="shared" si="16"/>
        <v/>
      </c>
      <c r="D199" s="567" t="str">
        <f t="shared" si="18"/>
        <v/>
      </c>
      <c r="E199" s="576" t="str">
        <f t="shared" si="19"/>
        <v/>
      </c>
      <c r="F199" s="582" t="str">
        <f t="shared" si="20"/>
        <v/>
      </c>
      <c r="G199" s="582" t="str">
        <f t="shared" si="21"/>
        <v/>
      </c>
      <c r="H199" s="553" t="str">
        <f>IF(C199="","",IF(OR($D$9=5,$D$9=11),IF(AND(D$7&gt;0,ROUNDDOWN($D$14/6,0)&gt;=31),31,""),""))</f>
        <v/>
      </c>
      <c r="I199" s="567" t="str">
        <f t="shared" si="22"/>
        <v/>
      </c>
      <c r="J199" s="576" t="str">
        <f t="shared" si="23"/>
        <v/>
      </c>
      <c r="K199" s="582" t="str">
        <f t="shared" si="17"/>
        <v/>
      </c>
      <c r="L199" s="593" t="str">
        <f>IF(OR(L198=0,L198=""),"",IF(AND(H199="",C199=""),"",IF(COUNT(H199:H204)&gt;0,L198-IF(I199="",0,I199),"")))</f>
        <v/>
      </c>
    </row>
    <row r="200" spans="2:12">
      <c r="B200" s="540">
        <v>182</v>
      </c>
      <c r="C200" s="551" t="str">
        <f t="shared" si="16"/>
        <v/>
      </c>
      <c r="D200" s="565" t="str">
        <f t="shared" si="18"/>
        <v/>
      </c>
      <c r="E200" s="574" t="str">
        <f t="shared" si="19"/>
        <v/>
      </c>
      <c r="F200" s="580" t="str">
        <f t="shared" si="20"/>
        <v/>
      </c>
      <c r="G200" s="580" t="str">
        <f t="shared" si="21"/>
        <v/>
      </c>
      <c r="H200" s="551" t="str">
        <f>IF(C200="","",IF(OR($D$9=4,$D$9=10),IF(AND(D$7&gt;0,ROUNDDOWN($D$14/6,0)&gt;=31),31,""),""))</f>
        <v/>
      </c>
      <c r="I200" s="565" t="str">
        <f t="shared" si="22"/>
        <v/>
      </c>
      <c r="J200" s="574" t="str">
        <f t="shared" si="23"/>
        <v/>
      </c>
      <c r="K200" s="580" t="str">
        <f t="shared" si="17"/>
        <v/>
      </c>
      <c r="L200" s="591" t="str">
        <f>IF(OR(L199=0,L199=""),"",IF(AND(H200="",C200=""),"",IF(COUNT(H199:H204)&gt;0,L199-IF(I200="",0,I200),"")))</f>
        <v/>
      </c>
    </row>
    <row r="201" spans="2:12">
      <c r="B201" s="540">
        <v>183</v>
      </c>
      <c r="C201" s="551" t="str">
        <f t="shared" si="16"/>
        <v/>
      </c>
      <c r="D201" s="565" t="str">
        <f t="shared" si="18"/>
        <v/>
      </c>
      <c r="E201" s="574" t="str">
        <f t="shared" si="19"/>
        <v/>
      </c>
      <c r="F201" s="580" t="str">
        <f t="shared" si="20"/>
        <v/>
      </c>
      <c r="G201" s="580" t="str">
        <f t="shared" si="21"/>
        <v/>
      </c>
      <c r="H201" s="551" t="str">
        <f>IF(C201="","",IF(OR($D$9=3,$D$9=9),IF(AND(D$7&gt;0,ROUNDDOWN($D$14/6,0)&gt;=31),31,""),""))</f>
        <v/>
      </c>
      <c r="I201" s="565" t="str">
        <f t="shared" si="22"/>
        <v/>
      </c>
      <c r="J201" s="574" t="str">
        <f t="shared" si="23"/>
        <v/>
      </c>
      <c r="K201" s="580" t="str">
        <f t="shared" si="17"/>
        <v/>
      </c>
      <c r="L201" s="591" t="str">
        <f>IF(OR(L200=0,L200=""),"",IF(AND(H201="",C201=""),"",IF(COUNT(H199:H204)&gt;0,L200-IF(I201="",0,I201),"")))</f>
        <v/>
      </c>
    </row>
    <row r="202" spans="2:12">
      <c r="B202" s="540">
        <v>184</v>
      </c>
      <c r="C202" s="551" t="str">
        <f t="shared" si="16"/>
        <v/>
      </c>
      <c r="D202" s="565" t="str">
        <f t="shared" si="18"/>
        <v/>
      </c>
      <c r="E202" s="574" t="str">
        <f t="shared" si="19"/>
        <v/>
      </c>
      <c r="F202" s="580" t="str">
        <f t="shared" si="20"/>
        <v/>
      </c>
      <c r="G202" s="580" t="str">
        <f t="shared" si="21"/>
        <v/>
      </c>
      <c r="H202" s="551" t="str">
        <f>IF(C202="","",IF(OR($D$9=2,$D$9=8),IF(AND(D$7&gt;0,ROUNDDOWN($D$14/6,0)&gt;=31),31,""),""))</f>
        <v/>
      </c>
      <c r="I202" s="565" t="str">
        <f t="shared" si="22"/>
        <v/>
      </c>
      <c r="J202" s="574" t="str">
        <f t="shared" si="23"/>
        <v/>
      </c>
      <c r="K202" s="580" t="str">
        <f t="shared" si="17"/>
        <v/>
      </c>
      <c r="L202" s="591" t="str">
        <f>IF(OR(L201=0,L201=""),"",IF(AND(H202="",C202=""),"",IF(COUNT(H199:H204)&gt;0,L201-IF(I202="",0,I202),"")))</f>
        <v/>
      </c>
    </row>
    <row r="203" spans="2:12">
      <c r="B203" s="540">
        <v>185</v>
      </c>
      <c r="C203" s="551" t="str">
        <f t="shared" si="16"/>
        <v/>
      </c>
      <c r="D203" s="565" t="str">
        <f t="shared" si="18"/>
        <v/>
      </c>
      <c r="E203" s="574" t="str">
        <f t="shared" si="19"/>
        <v/>
      </c>
      <c r="F203" s="580" t="str">
        <f t="shared" si="20"/>
        <v/>
      </c>
      <c r="G203" s="580" t="str">
        <f t="shared" si="21"/>
        <v/>
      </c>
      <c r="H203" s="551" t="str">
        <f>IF(C203="","",IF(OR($D$9=1,$D$9=7),IF(AND(D$7&gt;0,ROUNDDOWN($D$14/6,0)&gt;=31),31,""),""))</f>
        <v/>
      </c>
      <c r="I203" s="565" t="str">
        <f t="shared" si="22"/>
        <v/>
      </c>
      <c r="J203" s="574" t="str">
        <f t="shared" si="23"/>
        <v/>
      </c>
      <c r="K203" s="580" t="str">
        <f t="shared" si="17"/>
        <v/>
      </c>
      <c r="L203" s="591" t="str">
        <f>IF(OR(L202=0,L202=""),"",IF(AND(H203="",C203=""),"",IF(COUNT(H199:H204)&gt;0,L202-IF(I203="",0,I203),"")))</f>
        <v/>
      </c>
    </row>
    <row r="204" spans="2:12">
      <c r="B204" s="540">
        <v>186</v>
      </c>
      <c r="C204" s="552" t="str">
        <f t="shared" si="16"/>
        <v/>
      </c>
      <c r="D204" s="566" t="str">
        <f t="shared" si="18"/>
        <v/>
      </c>
      <c r="E204" s="575" t="str">
        <f t="shared" si="19"/>
        <v/>
      </c>
      <c r="F204" s="581" t="str">
        <f t="shared" si="20"/>
        <v/>
      </c>
      <c r="G204" s="581" t="str">
        <f t="shared" si="21"/>
        <v/>
      </c>
      <c r="H204" s="552" t="str">
        <f>IF(C204="","",IF(OR($D$9=12,$D$9=6),IF(AND(D$7&gt;0,ROUNDDOWN($D$14/6,0)&gt;=31),31,""),""))</f>
        <v/>
      </c>
      <c r="I204" s="566" t="str">
        <f t="shared" si="22"/>
        <v/>
      </c>
      <c r="J204" s="575" t="str">
        <f t="shared" si="23"/>
        <v/>
      </c>
      <c r="K204" s="581" t="str">
        <f t="shared" si="17"/>
        <v/>
      </c>
      <c r="L204" s="592" t="str">
        <f>IF(OR(L203=0,L203=""),"",IF(AND(H204="",C204=""),"",IF(COUNT(H199:H204)&gt;0,L203-IF(I204="",0,I204),"")))</f>
        <v/>
      </c>
    </row>
    <row r="205" spans="2:12">
      <c r="B205" s="540">
        <v>187</v>
      </c>
      <c r="C205" s="551" t="str">
        <f t="shared" si="16"/>
        <v/>
      </c>
      <c r="D205" s="565" t="str">
        <f t="shared" si="18"/>
        <v/>
      </c>
      <c r="E205" s="574" t="str">
        <f t="shared" si="19"/>
        <v/>
      </c>
      <c r="F205" s="580" t="str">
        <f t="shared" si="20"/>
        <v/>
      </c>
      <c r="G205" s="580" t="str">
        <f t="shared" si="21"/>
        <v/>
      </c>
      <c r="H205" s="551" t="str">
        <f>IF(C205="","",IF(OR($D$9=5,$D$9=11),IF(AND(D$7&gt;0,ROUNDDOWN($D$14/6,0)&gt;=32),32,""),""))</f>
        <v/>
      </c>
      <c r="I205" s="565" t="str">
        <f t="shared" si="22"/>
        <v/>
      </c>
      <c r="J205" s="574" t="str">
        <f t="shared" si="23"/>
        <v/>
      </c>
      <c r="K205" s="580" t="str">
        <f t="shared" si="17"/>
        <v/>
      </c>
      <c r="L205" s="591" t="str">
        <f>IF(OR(L204=0,L204=""),"",IF(AND(H205="",C205=""),"",IF(COUNT(H205:H210)&gt;0,L204-IF(I205="",0,I205),"")))</f>
        <v/>
      </c>
    </row>
    <row r="206" spans="2:12">
      <c r="B206" s="540">
        <v>188</v>
      </c>
      <c r="C206" s="551" t="str">
        <f t="shared" si="16"/>
        <v/>
      </c>
      <c r="D206" s="565" t="str">
        <f t="shared" si="18"/>
        <v/>
      </c>
      <c r="E206" s="574" t="str">
        <f t="shared" si="19"/>
        <v/>
      </c>
      <c r="F206" s="580" t="str">
        <f t="shared" si="20"/>
        <v/>
      </c>
      <c r="G206" s="580" t="str">
        <f t="shared" si="21"/>
        <v/>
      </c>
      <c r="H206" s="551" t="str">
        <f>IF(C206="","",IF(OR($D$9=4,$D$9=10),IF(AND(D$7&gt;0,ROUNDDOWN($D$14/6,0)&gt;=32),32,""),""))</f>
        <v/>
      </c>
      <c r="I206" s="565" t="str">
        <f t="shared" si="22"/>
        <v/>
      </c>
      <c r="J206" s="574" t="str">
        <f t="shared" si="23"/>
        <v/>
      </c>
      <c r="K206" s="580" t="str">
        <f t="shared" si="17"/>
        <v/>
      </c>
      <c r="L206" s="591" t="str">
        <f>IF(OR(L205=0,L205=""),"",IF(AND(H206="",C206=""),"",IF(COUNT(H205:H210)&gt;0,L205-IF(I206="",0,I206),"")))</f>
        <v/>
      </c>
    </row>
    <row r="207" spans="2:12">
      <c r="B207" s="540">
        <v>189</v>
      </c>
      <c r="C207" s="551" t="str">
        <f t="shared" si="16"/>
        <v/>
      </c>
      <c r="D207" s="565" t="str">
        <f t="shared" si="18"/>
        <v/>
      </c>
      <c r="E207" s="574" t="str">
        <f t="shared" si="19"/>
        <v/>
      </c>
      <c r="F207" s="580" t="str">
        <f t="shared" si="20"/>
        <v/>
      </c>
      <c r="G207" s="580" t="str">
        <f t="shared" si="21"/>
        <v/>
      </c>
      <c r="H207" s="551" t="str">
        <f>IF(C207="","",IF(OR($D$9=3,$D$9=9),IF(AND(D$7&gt;0,ROUNDDOWN($D$14/6,0)&gt;=32),32,""),""))</f>
        <v/>
      </c>
      <c r="I207" s="565" t="str">
        <f t="shared" si="22"/>
        <v/>
      </c>
      <c r="J207" s="574" t="str">
        <f t="shared" si="23"/>
        <v/>
      </c>
      <c r="K207" s="580" t="str">
        <f t="shared" si="17"/>
        <v/>
      </c>
      <c r="L207" s="591" t="str">
        <f>IF(OR(L206=0,L206=""),"",IF(AND(H207="",C207=""),"",IF(COUNT(H205:H210)&gt;0,L206-IF(I207="",0,I207),"")))</f>
        <v/>
      </c>
    </row>
    <row r="208" spans="2:12">
      <c r="B208" s="540">
        <v>190</v>
      </c>
      <c r="C208" s="551" t="str">
        <f t="shared" si="16"/>
        <v/>
      </c>
      <c r="D208" s="565" t="str">
        <f t="shared" si="18"/>
        <v/>
      </c>
      <c r="E208" s="574" t="str">
        <f t="shared" si="19"/>
        <v/>
      </c>
      <c r="F208" s="580" t="str">
        <f t="shared" si="20"/>
        <v/>
      </c>
      <c r="G208" s="580" t="str">
        <f t="shared" si="21"/>
        <v/>
      </c>
      <c r="H208" s="551" t="str">
        <f>IF(C208="","",IF(OR($D$9=2,$D$9=8),IF(AND(D$7&gt;0,ROUNDDOWN($D$14/6,0)&gt;=32),32,""),""))</f>
        <v/>
      </c>
      <c r="I208" s="565" t="str">
        <f t="shared" si="22"/>
        <v/>
      </c>
      <c r="J208" s="574" t="str">
        <f t="shared" si="23"/>
        <v/>
      </c>
      <c r="K208" s="580" t="str">
        <f t="shared" si="17"/>
        <v/>
      </c>
      <c r="L208" s="591" t="str">
        <f>IF(OR(L207=0,L207=""),"",IF(AND(H208="",C208=""),"",IF(COUNT(H205:H210)&gt;0,L207-IF(I208="",0,I208),"")))</f>
        <v/>
      </c>
    </row>
    <row r="209" spans="2:12">
      <c r="B209" s="540">
        <v>191</v>
      </c>
      <c r="C209" s="551" t="str">
        <f t="shared" si="16"/>
        <v/>
      </c>
      <c r="D209" s="565" t="str">
        <f t="shared" si="18"/>
        <v/>
      </c>
      <c r="E209" s="574" t="str">
        <f t="shared" si="19"/>
        <v/>
      </c>
      <c r="F209" s="580" t="str">
        <f t="shared" si="20"/>
        <v/>
      </c>
      <c r="G209" s="580" t="str">
        <f t="shared" si="21"/>
        <v/>
      </c>
      <c r="H209" s="551" t="str">
        <f>IF(C209="","",IF(OR($D$9=1,$D$9=7),IF(AND(D$7&gt;0,ROUNDDOWN($D$14/6,0)&gt;=32),32,""),""))</f>
        <v/>
      </c>
      <c r="I209" s="565" t="str">
        <f t="shared" si="22"/>
        <v/>
      </c>
      <c r="J209" s="574" t="str">
        <f t="shared" si="23"/>
        <v/>
      </c>
      <c r="K209" s="580" t="str">
        <f t="shared" si="17"/>
        <v/>
      </c>
      <c r="L209" s="591" t="str">
        <f>IF(OR(L208=0,L208=""),"",IF(AND(H209="",C209=""),"",IF(COUNT(H205:H210)&gt;0,L208-IF(I209="",0,I209),"")))</f>
        <v/>
      </c>
    </row>
    <row r="210" spans="2:12">
      <c r="B210" s="540">
        <v>192</v>
      </c>
      <c r="C210" s="551" t="str">
        <f t="shared" si="16"/>
        <v/>
      </c>
      <c r="D210" s="565" t="str">
        <f t="shared" si="18"/>
        <v/>
      </c>
      <c r="E210" s="574" t="str">
        <f t="shared" si="19"/>
        <v/>
      </c>
      <c r="F210" s="580" t="str">
        <f t="shared" si="20"/>
        <v/>
      </c>
      <c r="G210" s="580" t="str">
        <f t="shared" si="21"/>
        <v/>
      </c>
      <c r="H210" s="551" t="str">
        <f>IF(C210="","",IF(OR($D$9=12,$D$9=6),IF(AND(D$7&gt;0,ROUNDDOWN($D$14/6,0)&gt;=32),32,""),""))</f>
        <v/>
      </c>
      <c r="I210" s="565" t="str">
        <f t="shared" si="22"/>
        <v/>
      </c>
      <c r="J210" s="574" t="str">
        <f t="shared" si="23"/>
        <v/>
      </c>
      <c r="K210" s="580" t="str">
        <f t="shared" si="17"/>
        <v/>
      </c>
      <c r="L210" s="591" t="str">
        <f>IF(OR(L209=0,L209=""),"",IF(AND(H210="",C210=""),"",IF(COUNT(H205:H210)&gt;0,L209-IF(I210="",0,I210),"")))</f>
        <v/>
      </c>
    </row>
    <row r="211" spans="2:12">
      <c r="B211" s="540">
        <v>193</v>
      </c>
      <c r="C211" s="553" t="str">
        <f t="shared" ref="C211:C274" si="24">IF($D$14&gt;=B211,B211,"")</f>
        <v/>
      </c>
      <c r="D211" s="567" t="str">
        <f t="shared" si="18"/>
        <v/>
      </c>
      <c r="E211" s="576" t="str">
        <f t="shared" si="19"/>
        <v/>
      </c>
      <c r="F211" s="582" t="str">
        <f t="shared" si="20"/>
        <v/>
      </c>
      <c r="G211" s="582" t="str">
        <f t="shared" si="21"/>
        <v/>
      </c>
      <c r="H211" s="553" t="str">
        <f>IF(C211="","",IF(OR($D$9=5,$D$9=11),IF(AND(D$7&gt;0,ROUNDDOWN($D$14/6,0)&gt;=33),33,""),""))</f>
        <v/>
      </c>
      <c r="I211" s="567" t="str">
        <f t="shared" si="22"/>
        <v/>
      </c>
      <c r="J211" s="576" t="str">
        <f t="shared" si="23"/>
        <v/>
      </c>
      <c r="K211" s="582" t="str">
        <f t="shared" ref="K211:K274" si="25">IF(H211="","",IF(H217="",I211+J211,$I$14))</f>
        <v/>
      </c>
      <c r="L211" s="593" t="str">
        <f>IF(OR(L210=0,L210=""),"",IF(AND(H211="",C211=""),"",IF(COUNT(H211:H216)&gt;0,L210-IF(I211="",0,I211),"")))</f>
        <v/>
      </c>
    </row>
    <row r="212" spans="2:12">
      <c r="B212" s="540">
        <v>194</v>
      </c>
      <c r="C212" s="551" t="str">
        <f t="shared" si="24"/>
        <v/>
      </c>
      <c r="D212" s="565" t="str">
        <f t="shared" ref="D212:D275" si="26">IF(C212="","",IF(C212=$D$14,G211,F212-E212))</f>
        <v/>
      </c>
      <c r="E212" s="574" t="str">
        <f t="shared" ref="E212:E275" si="27">IF(C212="","",ROUNDDOWN(G211*$D$13,0))</f>
        <v/>
      </c>
      <c r="F212" s="580" t="str">
        <f t="shared" ref="F212:F275" si="28">IF(C212="","",IF(C212=$D$14,G211+E212,ROUNDDOWN(PMT($D$13,$D$14,-$D$8),0)))</f>
        <v/>
      </c>
      <c r="G212" s="580" t="str">
        <f t="shared" ref="G212:G275" si="29">IF(C212="","",G211-D212)</f>
        <v/>
      </c>
      <c r="H212" s="551" t="str">
        <f>IF(C212="","",IF(OR($D$9=4,$D$9=10),IF(AND(D$7&gt;0,ROUNDDOWN($D$14/6,0)&gt;=33),33,""),""))</f>
        <v/>
      </c>
      <c r="I212" s="565" t="str">
        <f t="shared" ref="I212:I275" si="30">IF(H212="","",IF(H218="",L211,K212-J212))</f>
        <v/>
      </c>
      <c r="J212" s="574" t="str">
        <f t="shared" si="23"/>
        <v/>
      </c>
      <c r="K212" s="580" t="str">
        <f t="shared" si="25"/>
        <v/>
      </c>
      <c r="L212" s="591" t="str">
        <f>IF(OR(L211=0,L211=""),"",IF(AND(H212="",C212=""),"",IF(COUNT(H211:H216)&gt;0,L211-IF(I212="",0,I212),"")))</f>
        <v/>
      </c>
    </row>
    <row r="213" spans="2:12">
      <c r="B213" s="540">
        <v>195</v>
      </c>
      <c r="C213" s="551" t="str">
        <f t="shared" si="24"/>
        <v/>
      </c>
      <c r="D213" s="565" t="str">
        <f t="shared" si="26"/>
        <v/>
      </c>
      <c r="E213" s="574" t="str">
        <f t="shared" si="27"/>
        <v/>
      </c>
      <c r="F213" s="580" t="str">
        <f t="shared" si="28"/>
        <v/>
      </c>
      <c r="G213" s="580" t="str">
        <f t="shared" si="29"/>
        <v/>
      </c>
      <c r="H213" s="551" t="str">
        <f>IF(C213="","",IF(OR($D$9=3,$D$9=9),IF(AND(D$7&gt;0,ROUNDDOWN($D$14/6,0)&gt;=33),33,""),""))</f>
        <v/>
      </c>
      <c r="I213" s="565" t="str">
        <f t="shared" si="30"/>
        <v/>
      </c>
      <c r="J213" s="574" t="str">
        <f t="shared" si="23"/>
        <v/>
      </c>
      <c r="K213" s="580" t="str">
        <f t="shared" si="25"/>
        <v/>
      </c>
      <c r="L213" s="591" t="str">
        <f>IF(OR(L212=0,L212=""),"",IF(AND(H213="",C213=""),"",IF(COUNT(H211:H216)&gt;0,L212-IF(I213="",0,I213),"")))</f>
        <v/>
      </c>
    </row>
    <row r="214" spans="2:12">
      <c r="B214" s="540">
        <v>196</v>
      </c>
      <c r="C214" s="551" t="str">
        <f t="shared" si="24"/>
        <v/>
      </c>
      <c r="D214" s="565" t="str">
        <f t="shared" si="26"/>
        <v/>
      </c>
      <c r="E214" s="574" t="str">
        <f t="shared" si="27"/>
        <v/>
      </c>
      <c r="F214" s="580" t="str">
        <f t="shared" si="28"/>
        <v/>
      </c>
      <c r="G214" s="580" t="str">
        <f t="shared" si="29"/>
        <v/>
      </c>
      <c r="H214" s="551" t="str">
        <f>IF(C214="","",IF(OR($D$9=2,$D$9=8),IF(AND(D$7&gt;0,ROUNDDOWN($D$14/6,0)&gt;=33),33,""),""))</f>
        <v/>
      </c>
      <c r="I214" s="565" t="str">
        <f t="shared" si="30"/>
        <v/>
      </c>
      <c r="J214" s="574" t="str">
        <f t="shared" si="23"/>
        <v/>
      </c>
      <c r="K214" s="580" t="str">
        <f t="shared" si="25"/>
        <v/>
      </c>
      <c r="L214" s="591" t="str">
        <f>IF(OR(L213=0,L213=""),"",IF(AND(H214="",C214=""),"",IF(COUNT(H211:H216)&gt;0,L213-IF(I214="",0,I214),"")))</f>
        <v/>
      </c>
    </row>
    <row r="215" spans="2:12">
      <c r="B215" s="540">
        <v>197</v>
      </c>
      <c r="C215" s="551" t="str">
        <f t="shared" si="24"/>
        <v/>
      </c>
      <c r="D215" s="565" t="str">
        <f t="shared" si="26"/>
        <v/>
      </c>
      <c r="E215" s="574" t="str">
        <f t="shared" si="27"/>
        <v/>
      </c>
      <c r="F215" s="580" t="str">
        <f t="shared" si="28"/>
        <v/>
      </c>
      <c r="G215" s="580" t="str">
        <f t="shared" si="29"/>
        <v/>
      </c>
      <c r="H215" s="551" t="str">
        <f>IF(C215="","",IF(OR($D$9=1,$D$9=7),IF(AND(D$7&gt;0,ROUNDDOWN($D$14/6,0)&gt;=33),33,""),""))</f>
        <v/>
      </c>
      <c r="I215" s="565" t="str">
        <f t="shared" si="30"/>
        <v/>
      </c>
      <c r="J215" s="574" t="str">
        <f t="shared" si="23"/>
        <v/>
      </c>
      <c r="K215" s="580" t="str">
        <f t="shared" si="25"/>
        <v/>
      </c>
      <c r="L215" s="591" t="str">
        <f>IF(OR(L214=0,L214=""),"",IF(AND(H215="",C215=""),"",IF(COUNT(H211:H216)&gt;0,L214-IF(I215="",0,I215),"")))</f>
        <v/>
      </c>
    </row>
    <row r="216" spans="2:12">
      <c r="B216" s="540">
        <v>198</v>
      </c>
      <c r="C216" s="552" t="str">
        <f t="shared" si="24"/>
        <v/>
      </c>
      <c r="D216" s="566" t="str">
        <f t="shared" si="26"/>
        <v/>
      </c>
      <c r="E216" s="575" t="str">
        <f t="shared" si="27"/>
        <v/>
      </c>
      <c r="F216" s="581" t="str">
        <f t="shared" si="28"/>
        <v/>
      </c>
      <c r="G216" s="581" t="str">
        <f t="shared" si="29"/>
        <v/>
      </c>
      <c r="H216" s="552" t="str">
        <f>IF(C216="","",IF(OR($D$9=12,$D$9=6),IF(AND(D$7&gt;0,ROUNDDOWN($D$14/6,0)&gt;=33),33,""),""))</f>
        <v/>
      </c>
      <c r="I216" s="566" t="str">
        <f t="shared" si="30"/>
        <v/>
      </c>
      <c r="J216" s="575" t="str">
        <f t="shared" si="23"/>
        <v/>
      </c>
      <c r="K216" s="581" t="str">
        <f t="shared" si="25"/>
        <v/>
      </c>
      <c r="L216" s="592" t="str">
        <f>IF(OR(L215=0,L215=""),"",IF(AND(H216="",C216=""),"",IF(COUNT(H211:H216)&gt;0,L215-IF(I216="",0,I216),"")))</f>
        <v/>
      </c>
    </row>
    <row r="217" spans="2:12">
      <c r="B217" s="540">
        <v>199</v>
      </c>
      <c r="C217" s="551" t="str">
        <f t="shared" si="24"/>
        <v/>
      </c>
      <c r="D217" s="565" t="str">
        <f t="shared" si="26"/>
        <v/>
      </c>
      <c r="E217" s="574" t="str">
        <f t="shared" si="27"/>
        <v/>
      </c>
      <c r="F217" s="580" t="str">
        <f t="shared" si="28"/>
        <v/>
      </c>
      <c r="G217" s="580" t="str">
        <f t="shared" si="29"/>
        <v/>
      </c>
      <c r="H217" s="551" t="str">
        <f>IF(C217="","",IF(OR($D$9=5,$D$9=11),IF(AND(D$7&gt;0,ROUNDDOWN($D$14/6,0)&gt;=34),34,""),""))</f>
        <v/>
      </c>
      <c r="I217" s="565" t="str">
        <f t="shared" si="30"/>
        <v/>
      </c>
      <c r="J217" s="574" t="str">
        <f t="shared" ref="J217:J280" si="31">IF(H217="","",ROUNDDOWN(L216*$D$12,0))</f>
        <v/>
      </c>
      <c r="K217" s="580" t="str">
        <f t="shared" si="25"/>
        <v/>
      </c>
      <c r="L217" s="591" t="str">
        <f>IF(OR(L216=0,L216=""),"",IF(AND(H217="",C217=""),"",IF(COUNT(H217:H222)&gt;0,L216-IF(I217="",0,I217),"")))</f>
        <v/>
      </c>
    </row>
    <row r="218" spans="2:12">
      <c r="B218" s="540">
        <v>200</v>
      </c>
      <c r="C218" s="551" t="str">
        <f t="shared" si="24"/>
        <v/>
      </c>
      <c r="D218" s="565" t="str">
        <f t="shared" si="26"/>
        <v/>
      </c>
      <c r="E218" s="574" t="str">
        <f t="shared" si="27"/>
        <v/>
      </c>
      <c r="F218" s="580" t="str">
        <f t="shared" si="28"/>
        <v/>
      </c>
      <c r="G218" s="580" t="str">
        <f t="shared" si="29"/>
        <v/>
      </c>
      <c r="H218" s="551" t="str">
        <f>IF(C218="","",IF(OR($D$9=4,$D$9=10),IF(AND(D$7&gt;0,ROUNDDOWN($D$14/6,0)&gt;=34),34,""),""))</f>
        <v/>
      </c>
      <c r="I218" s="565" t="str">
        <f t="shared" si="30"/>
        <v/>
      </c>
      <c r="J218" s="574" t="str">
        <f t="shared" si="31"/>
        <v/>
      </c>
      <c r="K218" s="580" t="str">
        <f t="shared" si="25"/>
        <v/>
      </c>
      <c r="L218" s="591" t="str">
        <f>IF(OR(L217=0,L217=""),"",IF(AND(H218="",C218=""),"",IF(COUNT(H217:H222)&gt;0,L217-IF(I218="",0,I218),"")))</f>
        <v/>
      </c>
    </row>
    <row r="219" spans="2:12">
      <c r="B219" s="540">
        <v>201</v>
      </c>
      <c r="C219" s="551" t="str">
        <f t="shared" si="24"/>
        <v/>
      </c>
      <c r="D219" s="565" t="str">
        <f t="shared" si="26"/>
        <v/>
      </c>
      <c r="E219" s="574" t="str">
        <f t="shared" si="27"/>
        <v/>
      </c>
      <c r="F219" s="580" t="str">
        <f t="shared" si="28"/>
        <v/>
      </c>
      <c r="G219" s="580" t="str">
        <f t="shared" si="29"/>
        <v/>
      </c>
      <c r="H219" s="551" t="str">
        <f>IF(C219="","",IF(OR($D$9=3,$D$9=9),IF(AND(D$7&gt;0,ROUNDDOWN($D$14/6,0)&gt;=34),34,""),""))</f>
        <v/>
      </c>
      <c r="I219" s="565" t="str">
        <f t="shared" si="30"/>
        <v/>
      </c>
      <c r="J219" s="574" t="str">
        <f t="shared" si="31"/>
        <v/>
      </c>
      <c r="K219" s="580" t="str">
        <f t="shared" si="25"/>
        <v/>
      </c>
      <c r="L219" s="591" t="str">
        <f>IF(OR(L218=0,L218=""),"",IF(AND(H219="",C219=""),"",IF(COUNT(H217:H222)&gt;0,L218-IF(I219="",0,I219),"")))</f>
        <v/>
      </c>
    </row>
    <row r="220" spans="2:12">
      <c r="B220" s="540">
        <v>202</v>
      </c>
      <c r="C220" s="551" t="str">
        <f t="shared" si="24"/>
        <v/>
      </c>
      <c r="D220" s="565" t="str">
        <f t="shared" si="26"/>
        <v/>
      </c>
      <c r="E220" s="574" t="str">
        <f t="shared" si="27"/>
        <v/>
      </c>
      <c r="F220" s="580" t="str">
        <f t="shared" si="28"/>
        <v/>
      </c>
      <c r="G220" s="580" t="str">
        <f t="shared" si="29"/>
        <v/>
      </c>
      <c r="H220" s="551" t="str">
        <f>IF(C220="","",IF(OR($D$9=2,$D$9=8),IF(AND(D$7&gt;0,ROUNDDOWN($D$14/6,0)&gt;=34),34,""),""))</f>
        <v/>
      </c>
      <c r="I220" s="565" t="str">
        <f t="shared" si="30"/>
        <v/>
      </c>
      <c r="J220" s="574" t="str">
        <f t="shared" si="31"/>
        <v/>
      </c>
      <c r="K220" s="580" t="str">
        <f t="shared" si="25"/>
        <v/>
      </c>
      <c r="L220" s="591" t="str">
        <f>IF(OR(L219=0,L219=""),"",IF(AND(H220="",C220=""),"",IF(COUNT(H217:H222)&gt;0,L219-IF(I220="",0,I220),"")))</f>
        <v/>
      </c>
    </row>
    <row r="221" spans="2:12">
      <c r="B221" s="540">
        <v>203</v>
      </c>
      <c r="C221" s="551" t="str">
        <f t="shared" si="24"/>
        <v/>
      </c>
      <c r="D221" s="565" t="str">
        <f t="shared" si="26"/>
        <v/>
      </c>
      <c r="E221" s="574" t="str">
        <f t="shared" si="27"/>
        <v/>
      </c>
      <c r="F221" s="580" t="str">
        <f t="shared" si="28"/>
        <v/>
      </c>
      <c r="G221" s="580" t="str">
        <f t="shared" si="29"/>
        <v/>
      </c>
      <c r="H221" s="551" t="str">
        <f>IF(C221="","",IF(OR($D$9=1,$D$9=7),IF(AND(D$7&gt;0,ROUNDDOWN($D$14/6,0)&gt;=34),34,""),""))</f>
        <v/>
      </c>
      <c r="I221" s="565" t="str">
        <f t="shared" si="30"/>
        <v/>
      </c>
      <c r="J221" s="574" t="str">
        <f t="shared" si="31"/>
        <v/>
      </c>
      <c r="K221" s="580" t="str">
        <f t="shared" si="25"/>
        <v/>
      </c>
      <c r="L221" s="591" t="str">
        <f>IF(OR(L220=0,L220=""),"",IF(AND(H221="",C221=""),"",IF(COUNT(H217:H222)&gt;0,L220-IF(I221="",0,I221),"")))</f>
        <v/>
      </c>
    </row>
    <row r="222" spans="2:12">
      <c r="B222" s="540">
        <v>204</v>
      </c>
      <c r="C222" s="551" t="str">
        <f t="shared" si="24"/>
        <v/>
      </c>
      <c r="D222" s="565" t="str">
        <f t="shared" si="26"/>
        <v/>
      </c>
      <c r="E222" s="574" t="str">
        <f t="shared" si="27"/>
        <v/>
      </c>
      <c r="F222" s="580" t="str">
        <f t="shared" si="28"/>
        <v/>
      </c>
      <c r="G222" s="580" t="str">
        <f t="shared" si="29"/>
        <v/>
      </c>
      <c r="H222" s="551" t="str">
        <f>IF(C222="","",IF(OR($D$9=12,$D$9=6),IF(AND(D$7&gt;0,ROUNDDOWN($D$14/6,0)&gt;=34),34,""),""))</f>
        <v/>
      </c>
      <c r="I222" s="565" t="str">
        <f t="shared" si="30"/>
        <v/>
      </c>
      <c r="J222" s="574" t="str">
        <f t="shared" si="31"/>
        <v/>
      </c>
      <c r="K222" s="580" t="str">
        <f t="shared" si="25"/>
        <v/>
      </c>
      <c r="L222" s="591" t="str">
        <f>IF(OR(L221=0,L221=""),"",IF(AND(H222="",C222=""),"",IF(COUNT(H217:H222)&gt;0,L221-IF(I222="",0,I222),"")))</f>
        <v/>
      </c>
    </row>
    <row r="223" spans="2:12">
      <c r="B223" s="540">
        <v>205</v>
      </c>
      <c r="C223" s="553" t="str">
        <f t="shared" si="24"/>
        <v/>
      </c>
      <c r="D223" s="567" t="str">
        <f t="shared" si="26"/>
        <v/>
      </c>
      <c r="E223" s="576" t="str">
        <f t="shared" si="27"/>
        <v/>
      </c>
      <c r="F223" s="582" t="str">
        <f t="shared" si="28"/>
        <v/>
      </c>
      <c r="G223" s="582" t="str">
        <f t="shared" si="29"/>
        <v/>
      </c>
      <c r="H223" s="553" t="str">
        <f>IF(C223="","",IF(OR($D$9=5,$D$9=11),IF(AND(D$7&gt;0,ROUNDDOWN($D$14/6,0)&gt;=35),35,""),""))</f>
        <v/>
      </c>
      <c r="I223" s="567" t="str">
        <f t="shared" si="30"/>
        <v/>
      </c>
      <c r="J223" s="576" t="str">
        <f t="shared" si="31"/>
        <v/>
      </c>
      <c r="K223" s="582" t="str">
        <f t="shared" si="25"/>
        <v/>
      </c>
      <c r="L223" s="593" t="str">
        <f>IF(OR(L222=0,L222=""),"",IF(AND(H223="",C223=""),"",IF(COUNT(H223:H228)&gt;0,L222-IF(I223="",0,I223),"")))</f>
        <v/>
      </c>
    </row>
    <row r="224" spans="2:12">
      <c r="B224" s="540">
        <v>206</v>
      </c>
      <c r="C224" s="551" t="str">
        <f t="shared" si="24"/>
        <v/>
      </c>
      <c r="D224" s="565" t="str">
        <f t="shared" si="26"/>
        <v/>
      </c>
      <c r="E224" s="574" t="str">
        <f t="shared" si="27"/>
        <v/>
      </c>
      <c r="F224" s="580" t="str">
        <f t="shared" si="28"/>
        <v/>
      </c>
      <c r="G224" s="580" t="str">
        <f t="shared" si="29"/>
        <v/>
      </c>
      <c r="H224" s="551" t="str">
        <f>IF(C224="","",IF(OR($D$9=4,$D$9=10),IF(AND(D$7&gt;0,ROUNDDOWN($D$14/6,0)&gt;=35),35,""),""))</f>
        <v/>
      </c>
      <c r="I224" s="565" t="str">
        <f t="shared" si="30"/>
        <v/>
      </c>
      <c r="J224" s="574" t="str">
        <f t="shared" si="31"/>
        <v/>
      </c>
      <c r="K224" s="580" t="str">
        <f t="shared" si="25"/>
        <v/>
      </c>
      <c r="L224" s="591" t="str">
        <f>IF(OR(L223=0,L223=""),"",IF(AND(H224="",C224=""),"",IF(COUNT(H223:H228)&gt;0,L223-IF(I224="",0,I224),"")))</f>
        <v/>
      </c>
    </row>
    <row r="225" spans="2:12">
      <c r="B225" s="540">
        <v>207</v>
      </c>
      <c r="C225" s="551" t="str">
        <f t="shared" si="24"/>
        <v/>
      </c>
      <c r="D225" s="565" t="str">
        <f t="shared" si="26"/>
        <v/>
      </c>
      <c r="E225" s="574" t="str">
        <f t="shared" si="27"/>
        <v/>
      </c>
      <c r="F225" s="580" t="str">
        <f t="shared" si="28"/>
        <v/>
      </c>
      <c r="G225" s="580" t="str">
        <f t="shared" si="29"/>
        <v/>
      </c>
      <c r="H225" s="551" t="str">
        <f>IF(C225="","",IF(OR($D$9=3,$D$9=9),IF(AND(D$7&gt;0,ROUNDDOWN($D$14/6,0)&gt;=35),35,""),""))</f>
        <v/>
      </c>
      <c r="I225" s="565" t="str">
        <f t="shared" si="30"/>
        <v/>
      </c>
      <c r="J225" s="574" t="str">
        <f t="shared" si="31"/>
        <v/>
      </c>
      <c r="K225" s="580" t="str">
        <f t="shared" si="25"/>
        <v/>
      </c>
      <c r="L225" s="591" t="str">
        <f>IF(OR(L224=0,L224=""),"",IF(AND(H225="",C225=""),"",IF(COUNT(H223:H228)&gt;0,L224-IF(I225="",0,I225),"")))</f>
        <v/>
      </c>
    </row>
    <row r="226" spans="2:12">
      <c r="B226" s="540">
        <v>208</v>
      </c>
      <c r="C226" s="551" t="str">
        <f t="shared" si="24"/>
        <v/>
      </c>
      <c r="D226" s="565" t="str">
        <f t="shared" si="26"/>
        <v/>
      </c>
      <c r="E226" s="574" t="str">
        <f t="shared" si="27"/>
        <v/>
      </c>
      <c r="F226" s="580" t="str">
        <f t="shared" si="28"/>
        <v/>
      </c>
      <c r="G226" s="580" t="str">
        <f t="shared" si="29"/>
        <v/>
      </c>
      <c r="H226" s="551" t="str">
        <f>IF(C226="","",IF(OR($D$9=2,$D$9=8),IF(AND(D$7&gt;0,ROUNDDOWN($D$14/6,0)&gt;=35),35,""),""))</f>
        <v/>
      </c>
      <c r="I226" s="565" t="str">
        <f t="shared" si="30"/>
        <v/>
      </c>
      <c r="J226" s="574" t="str">
        <f t="shared" si="31"/>
        <v/>
      </c>
      <c r="K226" s="580" t="str">
        <f t="shared" si="25"/>
        <v/>
      </c>
      <c r="L226" s="591" t="str">
        <f>IF(OR(L225=0,L225=""),"",IF(AND(H226="",C226=""),"",IF(COUNT(H223:H228)&gt;0,L225-IF(I226="",0,I226),"")))</f>
        <v/>
      </c>
    </row>
    <row r="227" spans="2:12">
      <c r="B227" s="540">
        <v>209</v>
      </c>
      <c r="C227" s="551" t="str">
        <f t="shared" si="24"/>
        <v/>
      </c>
      <c r="D227" s="565" t="str">
        <f t="shared" si="26"/>
        <v/>
      </c>
      <c r="E227" s="574" t="str">
        <f t="shared" si="27"/>
        <v/>
      </c>
      <c r="F227" s="580" t="str">
        <f t="shared" si="28"/>
        <v/>
      </c>
      <c r="G227" s="580" t="str">
        <f t="shared" si="29"/>
        <v/>
      </c>
      <c r="H227" s="551" t="str">
        <f>IF(C227="","",IF(OR($D$9=1,$D$9=7),IF(AND(D$7&gt;0,ROUNDDOWN($D$14/6,0)&gt;=35),35,""),""))</f>
        <v/>
      </c>
      <c r="I227" s="565" t="str">
        <f t="shared" si="30"/>
        <v/>
      </c>
      <c r="J227" s="574" t="str">
        <f t="shared" si="31"/>
        <v/>
      </c>
      <c r="K227" s="580" t="str">
        <f t="shared" si="25"/>
        <v/>
      </c>
      <c r="L227" s="591" t="str">
        <f>IF(OR(L226=0,L226=""),"",IF(AND(H227="",C227=""),"",IF(COUNT(H223:H228)&gt;0,L226-IF(I227="",0,I227),"")))</f>
        <v/>
      </c>
    </row>
    <row r="228" spans="2:12">
      <c r="B228" s="540">
        <v>210</v>
      </c>
      <c r="C228" s="552" t="str">
        <f t="shared" si="24"/>
        <v/>
      </c>
      <c r="D228" s="566" t="str">
        <f t="shared" si="26"/>
        <v/>
      </c>
      <c r="E228" s="575" t="str">
        <f t="shared" si="27"/>
        <v/>
      </c>
      <c r="F228" s="581" t="str">
        <f t="shared" si="28"/>
        <v/>
      </c>
      <c r="G228" s="581" t="str">
        <f t="shared" si="29"/>
        <v/>
      </c>
      <c r="H228" s="552" t="str">
        <f>IF(C228="","",IF(OR($D$9=12,$D$9=6),IF(AND(D$7&gt;0,ROUNDDOWN($D$14/6,0)&gt;=35),35,""),""))</f>
        <v/>
      </c>
      <c r="I228" s="566" t="str">
        <f t="shared" si="30"/>
        <v/>
      </c>
      <c r="J228" s="575" t="str">
        <f t="shared" si="31"/>
        <v/>
      </c>
      <c r="K228" s="581" t="str">
        <f t="shared" si="25"/>
        <v/>
      </c>
      <c r="L228" s="592" t="str">
        <f>IF(OR(L227=0,L227=""),"",IF(AND(H228="",C228=""),"",IF(COUNT(H223:H228)&gt;0,L227-IF(I228="",0,I228),"")))</f>
        <v/>
      </c>
    </row>
    <row r="229" spans="2:12">
      <c r="B229" s="540">
        <v>211</v>
      </c>
      <c r="C229" s="551" t="str">
        <f t="shared" si="24"/>
        <v/>
      </c>
      <c r="D229" s="565" t="str">
        <f t="shared" si="26"/>
        <v/>
      </c>
      <c r="E229" s="574" t="str">
        <f t="shared" si="27"/>
        <v/>
      </c>
      <c r="F229" s="580" t="str">
        <f t="shared" si="28"/>
        <v/>
      </c>
      <c r="G229" s="580" t="str">
        <f t="shared" si="29"/>
        <v/>
      </c>
      <c r="H229" s="551" t="str">
        <f>IF(C229="","",IF(OR($D$9=5,$D$9=11),IF(AND(D$7&gt;0,ROUNDDOWN($D$14/6,0)&gt;=36),36,""),""))</f>
        <v/>
      </c>
      <c r="I229" s="565" t="str">
        <f t="shared" si="30"/>
        <v/>
      </c>
      <c r="J229" s="574" t="str">
        <f t="shared" si="31"/>
        <v/>
      </c>
      <c r="K229" s="580" t="str">
        <f t="shared" si="25"/>
        <v/>
      </c>
      <c r="L229" s="591" t="str">
        <f>IF(OR(L228=0,L228=""),"",IF(AND(H229="",C229=""),"",IF(COUNT(H229:H234)&gt;0,L228-IF(I229="",0,I229),"")))</f>
        <v/>
      </c>
    </row>
    <row r="230" spans="2:12">
      <c r="B230" s="540">
        <v>212</v>
      </c>
      <c r="C230" s="551" t="str">
        <f t="shared" si="24"/>
        <v/>
      </c>
      <c r="D230" s="565" t="str">
        <f t="shared" si="26"/>
        <v/>
      </c>
      <c r="E230" s="574" t="str">
        <f t="shared" si="27"/>
        <v/>
      </c>
      <c r="F230" s="580" t="str">
        <f t="shared" si="28"/>
        <v/>
      </c>
      <c r="G230" s="580" t="str">
        <f t="shared" si="29"/>
        <v/>
      </c>
      <c r="H230" s="551" t="str">
        <f>IF(C230="","",IF(OR($D$9=4,$D$9=10),IF(AND(D$7&gt;0,ROUNDDOWN($D$14/6,0)&gt;=36),36,""),""))</f>
        <v/>
      </c>
      <c r="I230" s="565" t="str">
        <f t="shared" si="30"/>
        <v/>
      </c>
      <c r="J230" s="574" t="str">
        <f t="shared" si="31"/>
        <v/>
      </c>
      <c r="K230" s="580" t="str">
        <f t="shared" si="25"/>
        <v/>
      </c>
      <c r="L230" s="591" t="str">
        <f>IF(OR(L229=0,L229=""),"",IF(AND(H230="",C230=""),"",IF(COUNT(H229:H234)&gt;0,L229-IF(I230="",0,I230),"")))</f>
        <v/>
      </c>
    </row>
    <row r="231" spans="2:12">
      <c r="B231" s="540">
        <v>213</v>
      </c>
      <c r="C231" s="551" t="str">
        <f t="shared" si="24"/>
        <v/>
      </c>
      <c r="D231" s="565" t="str">
        <f t="shared" si="26"/>
        <v/>
      </c>
      <c r="E231" s="574" t="str">
        <f t="shared" si="27"/>
        <v/>
      </c>
      <c r="F231" s="580" t="str">
        <f t="shared" si="28"/>
        <v/>
      </c>
      <c r="G231" s="580" t="str">
        <f t="shared" si="29"/>
        <v/>
      </c>
      <c r="H231" s="551" t="str">
        <f>IF(C231="","",IF(OR($D$9=3,$D$9=9),IF(AND(D$7&gt;0,ROUNDDOWN($D$14/6,0)&gt;=36),36,""),""))</f>
        <v/>
      </c>
      <c r="I231" s="565" t="str">
        <f t="shared" si="30"/>
        <v/>
      </c>
      <c r="J231" s="574" t="str">
        <f t="shared" si="31"/>
        <v/>
      </c>
      <c r="K231" s="580" t="str">
        <f t="shared" si="25"/>
        <v/>
      </c>
      <c r="L231" s="591" t="str">
        <f>IF(OR(L230=0,L230=""),"",IF(AND(H231="",C231=""),"",IF(COUNT(H229:H234)&gt;0,L230-IF(I231="",0,I231),"")))</f>
        <v/>
      </c>
    </row>
    <row r="232" spans="2:12">
      <c r="B232" s="540">
        <v>214</v>
      </c>
      <c r="C232" s="551" t="str">
        <f t="shared" si="24"/>
        <v/>
      </c>
      <c r="D232" s="565" t="str">
        <f t="shared" si="26"/>
        <v/>
      </c>
      <c r="E232" s="574" t="str">
        <f t="shared" si="27"/>
        <v/>
      </c>
      <c r="F232" s="580" t="str">
        <f t="shared" si="28"/>
        <v/>
      </c>
      <c r="G232" s="580" t="str">
        <f t="shared" si="29"/>
        <v/>
      </c>
      <c r="H232" s="551" t="str">
        <f>IF(C232="","",IF(OR($D$9=2,$D$9=8),IF(AND(D$7&gt;0,ROUNDDOWN($D$14/6,0)&gt;=36),36,""),""))</f>
        <v/>
      </c>
      <c r="I232" s="565" t="str">
        <f t="shared" si="30"/>
        <v/>
      </c>
      <c r="J232" s="574" t="str">
        <f t="shared" si="31"/>
        <v/>
      </c>
      <c r="K232" s="580" t="str">
        <f t="shared" si="25"/>
        <v/>
      </c>
      <c r="L232" s="591" t="str">
        <f>IF(OR(L231=0,L231=""),"",IF(AND(H232="",C232=""),"",IF(COUNT(H229:H234)&gt;0,L231-IF(I232="",0,I232),"")))</f>
        <v/>
      </c>
    </row>
    <row r="233" spans="2:12">
      <c r="B233" s="540">
        <v>215</v>
      </c>
      <c r="C233" s="551" t="str">
        <f t="shared" si="24"/>
        <v/>
      </c>
      <c r="D233" s="565" t="str">
        <f t="shared" si="26"/>
        <v/>
      </c>
      <c r="E233" s="574" t="str">
        <f t="shared" si="27"/>
        <v/>
      </c>
      <c r="F233" s="580" t="str">
        <f t="shared" si="28"/>
        <v/>
      </c>
      <c r="G233" s="580" t="str">
        <f t="shared" si="29"/>
        <v/>
      </c>
      <c r="H233" s="551" t="str">
        <f>IF(C233="","",IF(OR($D$9=1,$D$9=7),IF(AND(D$7&gt;0,ROUNDDOWN($D$14/6,0)&gt;=36),36,""),""))</f>
        <v/>
      </c>
      <c r="I233" s="565" t="str">
        <f t="shared" si="30"/>
        <v/>
      </c>
      <c r="J233" s="574" t="str">
        <f t="shared" si="31"/>
        <v/>
      </c>
      <c r="K233" s="580" t="str">
        <f t="shared" si="25"/>
        <v/>
      </c>
      <c r="L233" s="591" t="str">
        <f>IF(OR(L232=0,L232=""),"",IF(AND(H233="",C233=""),"",IF(COUNT(H229:H234)&gt;0,L232-IF(I233="",0,I233),"")))</f>
        <v/>
      </c>
    </row>
    <row r="234" spans="2:12">
      <c r="B234" s="540">
        <v>216</v>
      </c>
      <c r="C234" s="551" t="str">
        <f t="shared" si="24"/>
        <v/>
      </c>
      <c r="D234" s="565" t="str">
        <f t="shared" si="26"/>
        <v/>
      </c>
      <c r="E234" s="574" t="str">
        <f t="shared" si="27"/>
        <v/>
      </c>
      <c r="F234" s="580" t="str">
        <f t="shared" si="28"/>
        <v/>
      </c>
      <c r="G234" s="580" t="str">
        <f t="shared" si="29"/>
        <v/>
      </c>
      <c r="H234" s="551" t="str">
        <f>IF(C234="","",IF(OR($D$9=12,$D$9=6),IF(AND(D$7&gt;0,ROUNDDOWN($D$14/6,0)&gt;=36),36,""),""))</f>
        <v/>
      </c>
      <c r="I234" s="565" t="str">
        <f t="shared" si="30"/>
        <v/>
      </c>
      <c r="J234" s="574" t="str">
        <f t="shared" si="31"/>
        <v/>
      </c>
      <c r="K234" s="580" t="str">
        <f t="shared" si="25"/>
        <v/>
      </c>
      <c r="L234" s="591" t="str">
        <f>IF(OR(L233=0,L233=""),"",IF(AND(H234="",C234=""),"",IF(COUNT(H229:H234)&gt;0,L233-IF(I234="",0,I234),"")))</f>
        <v/>
      </c>
    </row>
    <row r="235" spans="2:12">
      <c r="B235" s="540">
        <v>217</v>
      </c>
      <c r="C235" s="553" t="str">
        <f t="shared" si="24"/>
        <v/>
      </c>
      <c r="D235" s="567" t="str">
        <f t="shared" si="26"/>
        <v/>
      </c>
      <c r="E235" s="576" t="str">
        <f t="shared" si="27"/>
        <v/>
      </c>
      <c r="F235" s="582" t="str">
        <f t="shared" si="28"/>
        <v/>
      </c>
      <c r="G235" s="582" t="str">
        <f t="shared" si="29"/>
        <v/>
      </c>
      <c r="H235" s="553" t="str">
        <f>IF(C235="","",IF(OR($D$9=5,$D$9=11),IF(AND(D$7&gt;0,ROUNDDOWN($D$14/6,0)&gt;=37),37,""),""))</f>
        <v/>
      </c>
      <c r="I235" s="567" t="str">
        <f t="shared" si="30"/>
        <v/>
      </c>
      <c r="J235" s="576" t="str">
        <f t="shared" si="31"/>
        <v/>
      </c>
      <c r="K235" s="582" t="str">
        <f t="shared" si="25"/>
        <v/>
      </c>
      <c r="L235" s="593" t="str">
        <f>IF(OR(L234=0,L234=""),"",IF(AND(H235="",C235=""),"",IF(COUNT(H235:H240)&gt;0,L234-IF(I235="",0,I235),"")))</f>
        <v/>
      </c>
    </row>
    <row r="236" spans="2:12">
      <c r="B236" s="540">
        <v>218</v>
      </c>
      <c r="C236" s="551" t="str">
        <f t="shared" si="24"/>
        <v/>
      </c>
      <c r="D236" s="565" t="str">
        <f t="shared" si="26"/>
        <v/>
      </c>
      <c r="E236" s="574" t="str">
        <f t="shared" si="27"/>
        <v/>
      </c>
      <c r="F236" s="580" t="str">
        <f t="shared" si="28"/>
        <v/>
      </c>
      <c r="G236" s="580" t="str">
        <f t="shared" si="29"/>
        <v/>
      </c>
      <c r="H236" s="551" t="str">
        <f>IF(C236="","",IF(OR($D$9=4,$D$9=10),IF(AND(D$7&gt;0,ROUNDDOWN($D$14/6,0)&gt;=37),37,""),""))</f>
        <v/>
      </c>
      <c r="I236" s="565" t="str">
        <f t="shared" si="30"/>
        <v/>
      </c>
      <c r="J236" s="574" t="str">
        <f t="shared" si="31"/>
        <v/>
      </c>
      <c r="K236" s="580" t="str">
        <f t="shared" si="25"/>
        <v/>
      </c>
      <c r="L236" s="591" t="str">
        <f>IF(OR(L235=0,L235=""),"",IF(AND(H236="",C236=""),"",IF(COUNT(H235:H240)&gt;0,L235-IF(I236="",0,I236),"")))</f>
        <v/>
      </c>
    </row>
    <row r="237" spans="2:12">
      <c r="B237" s="540">
        <v>219</v>
      </c>
      <c r="C237" s="551" t="str">
        <f t="shared" si="24"/>
        <v/>
      </c>
      <c r="D237" s="565" t="str">
        <f t="shared" si="26"/>
        <v/>
      </c>
      <c r="E237" s="574" t="str">
        <f t="shared" si="27"/>
        <v/>
      </c>
      <c r="F237" s="580" t="str">
        <f t="shared" si="28"/>
        <v/>
      </c>
      <c r="G237" s="580" t="str">
        <f t="shared" si="29"/>
        <v/>
      </c>
      <c r="H237" s="551" t="str">
        <f>IF(C237="","",IF(OR($D$9=3,$D$9=9),IF(AND(D$7&gt;0,ROUNDDOWN($D$14/6,0)&gt;=37),37,""),""))</f>
        <v/>
      </c>
      <c r="I237" s="565" t="str">
        <f t="shared" si="30"/>
        <v/>
      </c>
      <c r="J237" s="574" t="str">
        <f t="shared" si="31"/>
        <v/>
      </c>
      <c r="K237" s="580" t="str">
        <f t="shared" si="25"/>
        <v/>
      </c>
      <c r="L237" s="591" t="str">
        <f>IF(OR(L236=0,L236=""),"",IF(AND(H237="",C237=""),"",IF(COUNT(H235:H240)&gt;0,L236-IF(I237="",0,I237),"")))</f>
        <v/>
      </c>
    </row>
    <row r="238" spans="2:12">
      <c r="B238" s="540">
        <v>220</v>
      </c>
      <c r="C238" s="551" t="str">
        <f t="shared" si="24"/>
        <v/>
      </c>
      <c r="D238" s="565" t="str">
        <f t="shared" si="26"/>
        <v/>
      </c>
      <c r="E238" s="574" t="str">
        <f t="shared" si="27"/>
        <v/>
      </c>
      <c r="F238" s="580" t="str">
        <f t="shared" si="28"/>
        <v/>
      </c>
      <c r="G238" s="580" t="str">
        <f t="shared" si="29"/>
        <v/>
      </c>
      <c r="H238" s="551" t="str">
        <f>IF(C238="","",IF(OR($D$9=2,$D$9=8),IF(AND(D$7&gt;0,ROUNDDOWN($D$14/6,0)&gt;=37),37,""),""))</f>
        <v/>
      </c>
      <c r="I238" s="565" t="str">
        <f t="shared" si="30"/>
        <v/>
      </c>
      <c r="J238" s="574" t="str">
        <f t="shared" si="31"/>
        <v/>
      </c>
      <c r="K238" s="580" t="str">
        <f t="shared" si="25"/>
        <v/>
      </c>
      <c r="L238" s="591" t="str">
        <f>IF(OR(L237=0,L237=""),"",IF(AND(H238="",C238=""),"",IF(COUNT(H235:H240)&gt;0,L237-IF(I238="",0,I238),"")))</f>
        <v/>
      </c>
    </row>
    <row r="239" spans="2:12">
      <c r="B239" s="540">
        <v>221</v>
      </c>
      <c r="C239" s="551" t="str">
        <f t="shared" si="24"/>
        <v/>
      </c>
      <c r="D239" s="565" t="str">
        <f t="shared" si="26"/>
        <v/>
      </c>
      <c r="E239" s="574" t="str">
        <f t="shared" si="27"/>
        <v/>
      </c>
      <c r="F239" s="580" t="str">
        <f t="shared" si="28"/>
        <v/>
      </c>
      <c r="G239" s="580" t="str">
        <f t="shared" si="29"/>
        <v/>
      </c>
      <c r="H239" s="551" t="str">
        <f>IF(C239="","",IF(OR($D$9=1,$D$9=7),IF(AND(D$7&gt;0,ROUNDDOWN($D$14/6,0)&gt;=37),37,""),""))</f>
        <v/>
      </c>
      <c r="I239" s="565" t="str">
        <f t="shared" si="30"/>
        <v/>
      </c>
      <c r="J239" s="574" t="str">
        <f t="shared" si="31"/>
        <v/>
      </c>
      <c r="K239" s="580" t="str">
        <f t="shared" si="25"/>
        <v/>
      </c>
      <c r="L239" s="591" t="str">
        <f>IF(OR(L238=0,L238=""),"",IF(AND(H239="",C239=""),"",IF(COUNT(H235:H240)&gt;0,L238-IF(I239="",0,I239),"")))</f>
        <v/>
      </c>
    </row>
    <row r="240" spans="2:12">
      <c r="B240" s="540">
        <v>222</v>
      </c>
      <c r="C240" s="552" t="str">
        <f t="shared" si="24"/>
        <v/>
      </c>
      <c r="D240" s="566" t="str">
        <f t="shared" si="26"/>
        <v/>
      </c>
      <c r="E240" s="575" t="str">
        <f t="shared" si="27"/>
        <v/>
      </c>
      <c r="F240" s="581" t="str">
        <f t="shared" si="28"/>
        <v/>
      </c>
      <c r="G240" s="581" t="str">
        <f t="shared" si="29"/>
        <v/>
      </c>
      <c r="H240" s="552" t="str">
        <f>IF(C240="","",IF(OR($D$9=12,$D$9=6),IF(AND(D$7&gt;0,ROUNDDOWN($D$14/6,0)&gt;=37),37,""),""))</f>
        <v/>
      </c>
      <c r="I240" s="566" t="str">
        <f t="shared" si="30"/>
        <v/>
      </c>
      <c r="J240" s="575" t="str">
        <f t="shared" si="31"/>
        <v/>
      </c>
      <c r="K240" s="581" t="str">
        <f t="shared" si="25"/>
        <v/>
      </c>
      <c r="L240" s="592" t="str">
        <f>IF(OR(L239=0,L239=""),"",IF(AND(H240="",C240=""),"",IF(COUNT(H235:H240)&gt;0,L239-IF(I240="",0,I240),"")))</f>
        <v/>
      </c>
    </row>
    <row r="241" spans="2:12">
      <c r="B241" s="540">
        <v>223</v>
      </c>
      <c r="C241" s="551" t="str">
        <f t="shared" si="24"/>
        <v/>
      </c>
      <c r="D241" s="565" t="str">
        <f t="shared" si="26"/>
        <v/>
      </c>
      <c r="E241" s="574" t="str">
        <f t="shared" si="27"/>
        <v/>
      </c>
      <c r="F241" s="580" t="str">
        <f t="shared" si="28"/>
        <v/>
      </c>
      <c r="G241" s="580" t="str">
        <f t="shared" si="29"/>
        <v/>
      </c>
      <c r="H241" s="551" t="str">
        <f>IF(C241="","",IF(OR($D$9=5,$D$9=11),IF(AND(D$7&gt;0,ROUNDDOWN($D$14/6,0)&gt;=38),38,""),""))</f>
        <v/>
      </c>
      <c r="I241" s="565" t="str">
        <f t="shared" si="30"/>
        <v/>
      </c>
      <c r="J241" s="574" t="str">
        <f t="shared" si="31"/>
        <v/>
      </c>
      <c r="K241" s="580" t="str">
        <f t="shared" si="25"/>
        <v/>
      </c>
      <c r="L241" s="591" t="str">
        <f>IF(OR(L240=0,L240=""),"",IF(AND(H241="",C241=""),"",IF(COUNT(H241:H246)&gt;0,L240-IF(I241="",0,I241),"")))</f>
        <v/>
      </c>
    </row>
    <row r="242" spans="2:12">
      <c r="B242" s="540">
        <v>224</v>
      </c>
      <c r="C242" s="551" t="str">
        <f t="shared" si="24"/>
        <v/>
      </c>
      <c r="D242" s="565" t="str">
        <f t="shared" si="26"/>
        <v/>
      </c>
      <c r="E242" s="574" t="str">
        <f t="shared" si="27"/>
        <v/>
      </c>
      <c r="F242" s="580" t="str">
        <f t="shared" si="28"/>
        <v/>
      </c>
      <c r="G242" s="580" t="str">
        <f t="shared" si="29"/>
        <v/>
      </c>
      <c r="H242" s="551" t="str">
        <f>IF(C242="","",IF(OR($D$9=4,$D$9=10),IF(AND(D$7&gt;0,ROUNDDOWN($D$14/6,0)&gt;=38),38,""),""))</f>
        <v/>
      </c>
      <c r="I242" s="565" t="str">
        <f t="shared" si="30"/>
        <v/>
      </c>
      <c r="J242" s="574" t="str">
        <f t="shared" si="31"/>
        <v/>
      </c>
      <c r="K242" s="580" t="str">
        <f t="shared" si="25"/>
        <v/>
      </c>
      <c r="L242" s="591" t="str">
        <f>IF(OR(L241=0,L241=""),"",IF(AND(H242="",C242=""),"",IF(COUNT(H241:H246)&gt;0,L241-IF(I242="",0,I242),"")))</f>
        <v/>
      </c>
    </row>
    <row r="243" spans="2:12">
      <c r="B243" s="540">
        <v>225</v>
      </c>
      <c r="C243" s="551" t="str">
        <f t="shared" si="24"/>
        <v/>
      </c>
      <c r="D243" s="565" t="str">
        <f t="shared" si="26"/>
        <v/>
      </c>
      <c r="E243" s="574" t="str">
        <f t="shared" si="27"/>
        <v/>
      </c>
      <c r="F243" s="580" t="str">
        <f t="shared" si="28"/>
        <v/>
      </c>
      <c r="G243" s="580" t="str">
        <f t="shared" si="29"/>
        <v/>
      </c>
      <c r="H243" s="551" t="str">
        <f>IF(C243="","",IF(OR($D$9=3,$D$9=9),IF(AND(D$7&gt;0,ROUNDDOWN($D$14/6,0)&gt;=38),38,""),""))</f>
        <v/>
      </c>
      <c r="I243" s="565" t="str">
        <f t="shared" si="30"/>
        <v/>
      </c>
      <c r="J243" s="574" t="str">
        <f t="shared" si="31"/>
        <v/>
      </c>
      <c r="K243" s="580" t="str">
        <f t="shared" si="25"/>
        <v/>
      </c>
      <c r="L243" s="591" t="str">
        <f>IF(OR(L242=0,L242=""),"",IF(AND(H243="",C243=""),"",IF(COUNT(H241:H246)&gt;0,L242-IF(I243="",0,I243),"")))</f>
        <v/>
      </c>
    </row>
    <row r="244" spans="2:12">
      <c r="B244" s="540">
        <v>226</v>
      </c>
      <c r="C244" s="551" t="str">
        <f t="shared" si="24"/>
        <v/>
      </c>
      <c r="D244" s="565" t="str">
        <f t="shared" si="26"/>
        <v/>
      </c>
      <c r="E244" s="574" t="str">
        <f t="shared" si="27"/>
        <v/>
      </c>
      <c r="F244" s="580" t="str">
        <f t="shared" si="28"/>
        <v/>
      </c>
      <c r="G244" s="580" t="str">
        <f t="shared" si="29"/>
        <v/>
      </c>
      <c r="H244" s="551" t="str">
        <f>IF(C244="","",IF(OR($D$9=2,$D$9=8),IF(AND(D$7&gt;0,ROUNDDOWN($D$14/6,0)&gt;=38),38,""),""))</f>
        <v/>
      </c>
      <c r="I244" s="565" t="str">
        <f t="shared" si="30"/>
        <v/>
      </c>
      <c r="J244" s="574" t="str">
        <f t="shared" si="31"/>
        <v/>
      </c>
      <c r="K244" s="580" t="str">
        <f t="shared" si="25"/>
        <v/>
      </c>
      <c r="L244" s="591" t="str">
        <f>IF(OR(L243=0,L243=""),"",IF(AND(H244="",C244=""),"",IF(COUNT(H241:H246)&gt;0,L243-IF(I244="",0,I244),"")))</f>
        <v/>
      </c>
    </row>
    <row r="245" spans="2:12">
      <c r="B245" s="540">
        <v>227</v>
      </c>
      <c r="C245" s="551" t="str">
        <f t="shared" si="24"/>
        <v/>
      </c>
      <c r="D245" s="565" t="str">
        <f t="shared" si="26"/>
        <v/>
      </c>
      <c r="E245" s="574" t="str">
        <f t="shared" si="27"/>
        <v/>
      </c>
      <c r="F245" s="580" t="str">
        <f t="shared" si="28"/>
        <v/>
      </c>
      <c r="G245" s="580" t="str">
        <f t="shared" si="29"/>
        <v/>
      </c>
      <c r="H245" s="551" t="str">
        <f>IF(C245="","",IF(OR($D$9=1,$D$9=7),IF(AND(D$7&gt;0,ROUNDDOWN($D$14/6,0)&gt;=38),38,""),""))</f>
        <v/>
      </c>
      <c r="I245" s="565" t="str">
        <f t="shared" si="30"/>
        <v/>
      </c>
      <c r="J245" s="574" t="str">
        <f t="shared" si="31"/>
        <v/>
      </c>
      <c r="K245" s="580" t="str">
        <f t="shared" si="25"/>
        <v/>
      </c>
      <c r="L245" s="591" t="str">
        <f>IF(OR(L244=0,L244=""),"",IF(AND(H245="",C245=""),"",IF(COUNT(H241:H246)&gt;0,L244-IF(I245="",0,I245),"")))</f>
        <v/>
      </c>
    </row>
    <row r="246" spans="2:12">
      <c r="B246" s="540">
        <v>228</v>
      </c>
      <c r="C246" s="551" t="str">
        <f t="shared" si="24"/>
        <v/>
      </c>
      <c r="D246" s="565" t="str">
        <f t="shared" si="26"/>
        <v/>
      </c>
      <c r="E246" s="574" t="str">
        <f t="shared" si="27"/>
        <v/>
      </c>
      <c r="F246" s="580" t="str">
        <f t="shared" si="28"/>
        <v/>
      </c>
      <c r="G246" s="580" t="str">
        <f t="shared" si="29"/>
        <v/>
      </c>
      <c r="H246" s="551" t="str">
        <f>IF(C246="","",IF(OR($D$9=12,$D$9=6),IF(AND(D$7&gt;0,ROUNDDOWN($D$14/6,0)&gt;=38),38,""),""))</f>
        <v/>
      </c>
      <c r="I246" s="565" t="str">
        <f t="shared" si="30"/>
        <v/>
      </c>
      <c r="J246" s="574" t="str">
        <f t="shared" si="31"/>
        <v/>
      </c>
      <c r="K246" s="580" t="str">
        <f t="shared" si="25"/>
        <v/>
      </c>
      <c r="L246" s="591" t="str">
        <f>IF(OR(L245=0,L245=""),"",IF(AND(H246="",C246=""),"",IF(COUNT(H241:H246)&gt;0,L245-IF(I246="",0,I246),"")))</f>
        <v/>
      </c>
    </row>
    <row r="247" spans="2:12">
      <c r="B247" s="540">
        <v>229</v>
      </c>
      <c r="C247" s="553" t="str">
        <f t="shared" si="24"/>
        <v/>
      </c>
      <c r="D247" s="567" t="str">
        <f t="shared" si="26"/>
        <v/>
      </c>
      <c r="E247" s="576" t="str">
        <f t="shared" si="27"/>
        <v/>
      </c>
      <c r="F247" s="582" t="str">
        <f t="shared" si="28"/>
        <v/>
      </c>
      <c r="G247" s="582" t="str">
        <f t="shared" si="29"/>
        <v/>
      </c>
      <c r="H247" s="553" t="str">
        <f>IF(C247="","",IF(OR($D$9=5,$D$9=11),IF(AND(D$7&gt;0,ROUNDDOWN($D$14/6,0)&gt;=39),39,""),""))</f>
        <v/>
      </c>
      <c r="I247" s="567" t="str">
        <f t="shared" si="30"/>
        <v/>
      </c>
      <c r="J247" s="576" t="str">
        <f t="shared" si="31"/>
        <v/>
      </c>
      <c r="K247" s="582" t="str">
        <f t="shared" si="25"/>
        <v/>
      </c>
      <c r="L247" s="593" t="str">
        <f>IF(OR(L246=0,L246=""),"",IF(AND(H247="",C247=""),"",IF(COUNT(H247:H252)&gt;0,L246-IF(I247="",0,I247),"")))</f>
        <v/>
      </c>
    </row>
    <row r="248" spans="2:12">
      <c r="B248" s="540">
        <v>230</v>
      </c>
      <c r="C248" s="551" t="str">
        <f t="shared" si="24"/>
        <v/>
      </c>
      <c r="D248" s="565" t="str">
        <f t="shared" si="26"/>
        <v/>
      </c>
      <c r="E248" s="574" t="str">
        <f t="shared" si="27"/>
        <v/>
      </c>
      <c r="F248" s="580" t="str">
        <f t="shared" si="28"/>
        <v/>
      </c>
      <c r="G248" s="580" t="str">
        <f t="shared" si="29"/>
        <v/>
      </c>
      <c r="H248" s="551" t="str">
        <f>IF(C248="","",IF(OR($D$9=4,$D$9=10),IF(AND(D$7&gt;0,ROUNDDOWN($D$14/6,0)&gt;=39),39,""),""))</f>
        <v/>
      </c>
      <c r="I248" s="565" t="str">
        <f t="shared" si="30"/>
        <v/>
      </c>
      <c r="J248" s="574" t="str">
        <f t="shared" si="31"/>
        <v/>
      </c>
      <c r="K248" s="580" t="str">
        <f t="shared" si="25"/>
        <v/>
      </c>
      <c r="L248" s="591" t="str">
        <f>IF(OR(L247=0,L247=""),"",IF(AND(H248="",C248=""),"",IF(COUNT(H247:H252)&gt;0,L247-IF(I248="",0,I248),"")))</f>
        <v/>
      </c>
    </row>
    <row r="249" spans="2:12">
      <c r="B249" s="540">
        <v>231</v>
      </c>
      <c r="C249" s="551" t="str">
        <f t="shared" si="24"/>
        <v/>
      </c>
      <c r="D249" s="565" t="str">
        <f t="shared" si="26"/>
        <v/>
      </c>
      <c r="E249" s="574" t="str">
        <f t="shared" si="27"/>
        <v/>
      </c>
      <c r="F249" s="580" t="str">
        <f t="shared" si="28"/>
        <v/>
      </c>
      <c r="G249" s="580" t="str">
        <f t="shared" si="29"/>
        <v/>
      </c>
      <c r="H249" s="551" t="str">
        <f>IF(C249="","",IF(OR($D$9=3,$D$9=9),IF(AND(D$7&gt;0,ROUNDDOWN($D$14/6,0)&gt;=39),39,""),""))</f>
        <v/>
      </c>
      <c r="I249" s="565" t="str">
        <f t="shared" si="30"/>
        <v/>
      </c>
      <c r="J249" s="574" t="str">
        <f t="shared" si="31"/>
        <v/>
      </c>
      <c r="K249" s="580" t="str">
        <f t="shared" si="25"/>
        <v/>
      </c>
      <c r="L249" s="591" t="str">
        <f>IF(OR(L248=0,L248=""),"",IF(AND(H249="",C249=""),"",IF(COUNT(H247:H252)&gt;0,L248-IF(I249="",0,I249),"")))</f>
        <v/>
      </c>
    </row>
    <row r="250" spans="2:12">
      <c r="B250" s="540">
        <v>232</v>
      </c>
      <c r="C250" s="551" t="str">
        <f t="shared" si="24"/>
        <v/>
      </c>
      <c r="D250" s="565" t="str">
        <f t="shared" si="26"/>
        <v/>
      </c>
      <c r="E250" s="574" t="str">
        <f t="shared" si="27"/>
        <v/>
      </c>
      <c r="F250" s="580" t="str">
        <f t="shared" si="28"/>
        <v/>
      </c>
      <c r="G250" s="580" t="str">
        <f t="shared" si="29"/>
        <v/>
      </c>
      <c r="H250" s="551" t="str">
        <f>IF(C250="","",IF(OR($D$9=2,$D$9=8),IF(AND(D$7&gt;0,ROUNDDOWN($D$14/6,0)&gt;=39),39,""),""))</f>
        <v/>
      </c>
      <c r="I250" s="565" t="str">
        <f t="shared" si="30"/>
        <v/>
      </c>
      <c r="J250" s="574" t="str">
        <f t="shared" si="31"/>
        <v/>
      </c>
      <c r="K250" s="580" t="str">
        <f t="shared" si="25"/>
        <v/>
      </c>
      <c r="L250" s="591" t="str">
        <f>IF(OR(L249=0,L249=""),"",IF(AND(H250="",C250=""),"",IF(COUNT(H247:H252)&gt;0,L249-IF(I250="",0,I250),"")))</f>
        <v/>
      </c>
    </row>
    <row r="251" spans="2:12">
      <c r="B251" s="540">
        <v>233</v>
      </c>
      <c r="C251" s="551" t="str">
        <f t="shared" si="24"/>
        <v/>
      </c>
      <c r="D251" s="565" t="str">
        <f t="shared" si="26"/>
        <v/>
      </c>
      <c r="E251" s="574" t="str">
        <f t="shared" si="27"/>
        <v/>
      </c>
      <c r="F251" s="580" t="str">
        <f t="shared" si="28"/>
        <v/>
      </c>
      <c r="G251" s="580" t="str">
        <f t="shared" si="29"/>
        <v/>
      </c>
      <c r="H251" s="551" t="str">
        <f>IF(C251="","",IF(OR($D$9=1,$D$9=7),IF(AND(D$7&gt;0,ROUNDDOWN($D$14/6,0)&gt;=39),39,""),""))</f>
        <v/>
      </c>
      <c r="I251" s="565" t="str">
        <f t="shared" si="30"/>
        <v/>
      </c>
      <c r="J251" s="574" t="str">
        <f t="shared" si="31"/>
        <v/>
      </c>
      <c r="K251" s="580" t="str">
        <f t="shared" si="25"/>
        <v/>
      </c>
      <c r="L251" s="591" t="str">
        <f>IF(OR(L250=0,L250=""),"",IF(AND(H251="",C251=""),"",IF(COUNT(H247:H252)&gt;0,L250-IF(I251="",0,I251),"")))</f>
        <v/>
      </c>
    </row>
    <row r="252" spans="2:12">
      <c r="B252" s="540">
        <v>234</v>
      </c>
      <c r="C252" s="552" t="str">
        <f t="shared" si="24"/>
        <v/>
      </c>
      <c r="D252" s="566" t="str">
        <f t="shared" si="26"/>
        <v/>
      </c>
      <c r="E252" s="575" t="str">
        <f t="shared" si="27"/>
        <v/>
      </c>
      <c r="F252" s="581" t="str">
        <f t="shared" si="28"/>
        <v/>
      </c>
      <c r="G252" s="581" t="str">
        <f t="shared" si="29"/>
        <v/>
      </c>
      <c r="H252" s="552" t="str">
        <f>IF(C252="","",IF(OR($D$9=12,$D$9=6),IF(AND(D$7&gt;0,ROUNDDOWN($D$14/6,0)&gt;=39),39,""),""))</f>
        <v/>
      </c>
      <c r="I252" s="566" t="str">
        <f t="shared" si="30"/>
        <v/>
      </c>
      <c r="J252" s="575" t="str">
        <f t="shared" si="31"/>
        <v/>
      </c>
      <c r="K252" s="581" t="str">
        <f t="shared" si="25"/>
        <v/>
      </c>
      <c r="L252" s="592" t="str">
        <f>IF(OR(L251=0,L251=""),"",IF(AND(H252="",C252=""),"",IF(COUNT(H247:H252)&gt;0,L251-IF(I252="",0,I252),"")))</f>
        <v/>
      </c>
    </row>
    <row r="253" spans="2:12">
      <c r="B253" s="540">
        <v>235</v>
      </c>
      <c r="C253" s="551" t="str">
        <f t="shared" si="24"/>
        <v/>
      </c>
      <c r="D253" s="565" t="str">
        <f t="shared" si="26"/>
        <v/>
      </c>
      <c r="E253" s="574" t="str">
        <f t="shared" si="27"/>
        <v/>
      </c>
      <c r="F253" s="580" t="str">
        <f t="shared" si="28"/>
        <v/>
      </c>
      <c r="G253" s="580" t="str">
        <f t="shared" si="29"/>
        <v/>
      </c>
      <c r="H253" s="551" t="str">
        <f>IF(C253="","",IF(OR($D$9=5,$D$9=11),IF(AND(D$7&gt;0,ROUNDDOWN($D$14/6,0)&gt;=40),40,""),""))</f>
        <v/>
      </c>
      <c r="I253" s="565" t="str">
        <f t="shared" si="30"/>
        <v/>
      </c>
      <c r="J253" s="574" t="str">
        <f t="shared" si="31"/>
        <v/>
      </c>
      <c r="K253" s="580" t="str">
        <f t="shared" si="25"/>
        <v/>
      </c>
      <c r="L253" s="591" t="str">
        <f>IF(OR(L252=0,L252=""),"",IF(AND(H253="",C253=""),"",IF(COUNT(H253:H258)&gt;0,L252-IF(I253="",0,I253),"")))</f>
        <v/>
      </c>
    </row>
    <row r="254" spans="2:12">
      <c r="B254" s="540">
        <v>236</v>
      </c>
      <c r="C254" s="551" t="str">
        <f t="shared" si="24"/>
        <v/>
      </c>
      <c r="D254" s="565" t="str">
        <f t="shared" si="26"/>
        <v/>
      </c>
      <c r="E254" s="574" t="str">
        <f t="shared" si="27"/>
        <v/>
      </c>
      <c r="F254" s="580" t="str">
        <f t="shared" si="28"/>
        <v/>
      </c>
      <c r="G254" s="580" t="str">
        <f t="shared" si="29"/>
        <v/>
      </c>
      <c r="H254" s="551" t="str">
        <f>IF(C254="","",IF(OR($D$9=4,$D$9=10),IF(AND(D$7&gt;0,ROUNDDOWN($D$14/6,0)&gt;=40),40,""),""))</f>
        <v/>
      </c>
      <c r="I254" s="565" t="str">
        <f t="shared" si="30"/>
        <v/>
      </c>
      <c r="J254" s="574" t="str">
        <f t="shared" si="31"/>
        <v/>
      </c>
      <c r="K254" s="580" t="str">
        <f t="shared" si="25"/>
        <v/>
      </c>
      <c r="L254" s="591" t="str">
        <f>IF(OR(L253=0,L253=""),"",IF(AND(H254="",C254=""),"",IF(COUNT(H253:H258)&gt;0,L253-IF(I254="",0,I254),"")))</f>
        <v/>
      </c>
    </row>
    <row r="255" spans="2:12">
      <c r="B255" s="540">
        <v>237</v>
      </c>
      <c r="C255" s="551" t="str">
        <f t="shared" si="24"/>
        <v/>
      </c>
      <c r="D255" s="565" t="str">
        <f t="shared" si="26"/>
        <v/>
      </c>
      <c r="E255" s="574" t="str">
        <f t="shared" si="27"/>
        <v/>
      </c>
      <c r="F255" s="580" t="str">
        <f t="shared" si="28"/>
        <v/>
      </c>
      <c r="G255" s="580" t="str">
        <f t="shared" si="29"/>
        <v/>
      </c>
      <c r="H255" s="551" t="str">
        <f>IF(C255="","",IF(OR($D$9=3,$D$9=9),IF(AND(D$7&gt;0,ROUNDDOWN($D$14/6,0)&gt;=40),40,""),""))</f>
        <v/>
      </c>
      <c r="I255" s="565" t="str">
        <f t="shared" si="30"/>
        <v/>
      </c>
      <c r="J255" s="574" t="str">
        <f t="shared" si="31"/>
        <v/>
      </c>
      <c r="K255" s="580" t="str">
        <f t="shared" si="25"/>
        <v/>
      </c>
      <c r="L255" s="591" t="str">
        <f>IF(OR(L254=0,L254=""),"",IF(AND(H255="",C255=""),"",IF(COUNT(H253:H258)&gt;0,L254-IF(I255="",0,I255),"")))</f>
        <v/>
      </c>
    </row>
    <row r="256" spans="2:12">
      <c r="B256" s="540">
        <v>238</v>
      </c>
      <c r="C256" s="551" t="str">
        <f t="shared" si="24"/>
        <v/>
      </c>
      <c r="D256" s="565" t="str">
        <f t="shared" si="26"/>
        <v/>
      </c>
      <c r="E256" s="574" t="str">
        <f t="shared" si="27"/>
        <v/>
      </c>
      <c r="F256" s="580" t="str">
        <f t="shared" si="28"/>
        <v/>
      </c>
      <c r="G256" s="580" t="str">
        <f t="shared" si="29"/>
        <v/>
      </c>
      <c r="H256" s="551" t="str">
        <f>IF(C256="","",IF(OR($D$9=2,$D$9=8),IF(AND(D$7&gt;0,ROUNDDOWN($D$14/6,0)&gt;=40),40,""),""))</f>
        <v/>
      </c>
      <c r="I256" s="565" t="str">
        <f t="shared" si="30"/>
        <v/>
      </c>
      <c r="J256" s="574" t="str">
        <f t="shared" si="31"/>
        <v/>
      </c>
      <c r="K256" s="580" t="str">
        <f t="shared" si="25"/>
        <v/>
      </c>
      <c r="L256" s="591" t="str">
        <f>IF(OR(L255=0,L255=""),"",IF(AND(H256="",C256=""),"",IF(COUNT(H253:H258)&gt;0,L255-IF(I256="",0,I256),"")))</f>
        <v/>
      </c>
    </row>
    <row r="257" spans="2:12">
      <c r="B257" s="540">
        <v>239</v>
      </c>
      <c r="C257" s="551" t="str">
        <f t="shared" si="24"/>
        <v/>
      </c>
      <c r="D257" s="565" t="str">
        <f t="shared" si="26"/>
        <v/>
      </c>
      <c r="E257" s="574" t="str">
        <f t="shared" si="27"/>
        <v/>
      </c>
      <c r="F257" s="580" t="str">
        <f t="shared" si="28"/>
        <v/>
      </c>
      <c r="G257" s="580" t="str">
        <f t="shared" si="29"/>
        <v/>
      </c>
      <c r="H257" s="551" t="str">
        <f>IF(C257="","",IF(OR($D$9=1,$D$9=7),IF(AND(D$7&gt;0,ROUNDDOWN($D$14/6,0)&gt;=40),40,""),""))</f>
        <v/>
      </c>
      <c r="I257" s="565" t="str">
        <f t="shared" si="30"/>
        <v/>
      </c>
      <c r="J257" s="574" t="str">
        <f t="shared" si="31"/>
        <v/>
      </c>
      <c r="K257" s="580" t="str">
        <f t="shared" si="25"/>
        <v/>
      </c>
      <c r="L257" s="591" t="str">
        <f>IF(OR(L256=0,L256=""),"",IF(AND(H257="",C257=""),"",IF(COUNT(H253:H258)&gt;0,L256-IF(I257="",0,I257),"")))</f>
        <v/>
      </c>
    </row>
    <row r="258" spans="2:12">
      <c r="B258" s="540">
        <v>240</v>
      </c>
      <c r="C258" s="551" t="str">
        <f t="shared" si="24"/>
        <v/>
      </c>
      <c r="D258" s="565" t="str">
        <f t="shared" si="26"/>
        <v/>
      </c>
      <c r="E258" s="574" t="str">
        <f t="shared" si="27"/>
        <v/>
      </c>
      <c r="F258" s="580" t="str">
        <f t="shared" si="28"/>
        <v/>
      </c>
      <c r="G258" s="580" t="str">
        <f t="shared" si="29"/>
        <v/>
      </c>
      <c r="H258" s="551" t="str">
        <f>IF(C258="","",IF(OR($D$9=12,$D$9=6),IF(AND(D$7&gt;0,ROUNDDOWN($D$14/6,0)&gt;=40),40,""),""))</f>
        <v/>
      </c>
      <c r="I258" s="565" t="str">
        <f t="shared" si="30"/>
        <v/>
      </c>
      <c r="J258" s="574" t="str">
        <f t="shared" si="31"/>
        <v/>
      </c>
      <c r="K258" s="580" t="str">
        <f t="shared" si="25"/>
        <v/>
      </c>
      <c r="L258" s="591" t="str">
        <f>IF(OR(L257=0,L257=""),"",IF(AND(H258="",C258=""),"",IF(COUNT(H253:H258)&gt;0,L257-IF(I258="",0,I258),"")))</f>
        <v/>
      </c>
    </row>
    <row r="259" spans="2:12">
      <c r="B259" s="540">
        <v>241</v>
      </c>
      <c r="C259" s="553" t="str">
        <f t="shared" si="24"/>
        <v/>
      </c>
      <c r="D259" s="567" t="str">
        <f t="shared" si="26"/>
        <v/>
      </c>
      <c r="E259" s="576" t="str">
        <f t="shared" si="27"/>
        <v/>
      </c>
      <c r="F259" s="582" t="str">
        <f t="shared" si="28"/>
        <v/>
      </c>
      <c r="G259" s="582" t="str">
        <f t="shared" si="29"/>
        <v/>
      </c>
      <c r="H259" s="553" t="str">
        <f>IF(C259="","",IF(OR($D$9=5,$D$9=11),IF(AND(D$7&gt;0,ROUNDDOWN($D$14/6,0)&gt;=41),41,""),""))</f>
        <v/>
      </c>
      <c r="I259" s="567" t="str">
        <f t="shared" si="30"/>
        <v/>
      </c>
      <c r="J259" s="576" t="str">
        <f t="shared" si="31"/>
        <v/>
      </c>
      <c r="K259" s="582" t="str">
        <f t="shared" si="25"/>
        <v/>
      </c>
      <c r="L259" s="593" t="str">
        <f>IF(OR(L258=0,L258=""),"",IF(AND(H259="",C259=""),"",IF(COUNT(H259:H264)&gt;0,L258-IF(I259="",0,I259),"")))</f>
        <v/>
      </c>
    </row>
    <row r="260" spans="2:12">
      <c r="B260" s="540">
        <v>242</v>
      </c>
      <c r="C260" s="551" t="str">
        <f t="shared" si="24"/>
        <v/>
      </c>
      <c r="D260" s="565" t="str">
        <f t="shared" si="26"/>
        <v/>
      </c>
      <c r="E260" s="574" t="str">
        <f t="shared" si="27"/>
        <v/>
      </c>
      <c r="F260" s="580" t="str">
        <f t="shared" si="28"/>
        <v/>
      </c>
      <c r="G260" s="580" t="str">
        <f t="shared" si="29"/>
        <v/>
      </c>
      <c r="H260" s="551" t="str">
        <f>IF(C260="","",IF(OR($D$9=4,$D$9=10),IF(AND(D$7&gt;0,ROUNDDOWN($D$14/6,0)&gt;=41),41,""),""))</f>
        <v/>
      </c>
      <c r="I260" s="565" t="str">
        <f t="shared" si="30"/>
        <v/>
      </c>
      <c r="J260" s="574" t="str">
        <f t="shared" si="31"/>
        <v/>
      </c>
      <c r="K260" s="580" t="str">
        <f t="shared" si="25"/>
        <v/>
      </c>
      <c r="L260" s="591" t="str">
        <f>IF(OR(L259=0,L259=""),"",IF(AND(H260="",C260=""),"",IF(COUNT(H259:H264)&gt;0,L259-IF(I260="",0,I260),"")))</f>
        <v/>
      </c>
    </row>
    <row r="261" spans="2:12">
      <c r="B261" s="540">
        <v>243</v>
      </c>
      <c r="C261" s="551" t="str">
        <f t="shared" si="24"/>
        <v/>
      </c>
      <c r="D261" s="565" t="str">
        <f t="shared" si="26"/>
        <v/>
      </c>
      <c r="E261" s="574" t="str">
        <f t="shared" si="27"/>
        <v/>
      </c>
      <c r="F261" s="580" t="str">
        <f t="shared" si="28"/>
        <v/>
      </c>
      <c r="G261" s="580" t="str">
        <f t="shared" si="29"/>
        <v/>
      </c>
      <c r="H261" s="551" t="str">
        <f>IF(C261="","",IF(OR($D$9=3,$D$9=9),IF(AND(D$7&gt;0,ROUNDDOWN($D$14/6,0)&gt;=41),41,""),""))</f>
        <v/>
      </c>
      <c r="I261" s="565" t="str">
        <f t="shared" si="30"/>
        <v/>
      </c>
      <c r="J261" s="574" t="str">
        <f t="shared" si="31"/>
        <v/>
      </c>
      <c r="K261" s="580" t="str">
        <f t="shared" si="25"/>
        <v/>
      </c>
      <c r="L261" s="591" t="str">
        <f>IF(OR(L260=0,L260=""),"",IF(AND(H261="",C261=""),"",IF(COUNT(H259:H264)&gt;0,L260-IF(I261="",0,I261),"")))</f>
        <v/>
      </c>
    </row>
    <row r="262" spans="2:12">
      <c r="B262" s="540">
        <v>244</v>
      </c>
      <c r="C262" s="551" t="str">
        <f t="shared" si="24"/>
        <v/>
      </c>
      <c r="D262" s="565" t="str">
        <f t="shared" si="26"/>
        <v/>
      </c>
      <c r="E262" s="574" t="str">
        <f t="shared" si="27"/>
        <v/>
      </c>
      <c r="F262" s="580" t="str">
        <f t="shared" si="28"/>
        <v/>
      </c>
      <c r="G262" s="580" t="str">
        <f t="shared" si="29"/>
        <v/>
      </c>
      <c r="H262" s="551" t="str">
        <f>IF(C262="","",IF(OR($D$9=2,$D$9=8),IF(AND(D$7&gt;0,ROUNDDOWN($D$14/6,0)&gt;=41),41,""),""))</f>
        <v/>
      </c>
      <c r="I262" s="565" t="str">
        <f t="shared" si="30"/>
        <v/>
      </c>
      <c r="J262" s="574" t="str">
        <f t="shared" si="31"/>
        <v/>
      </c>
      <c r="K262" s="580" t="str">
        <f t="shared" si="25"/>
        <v/>
      </c>
      <c r="L262" s="591" t="str">
        <f>IF(OR(L261=0,L261=""),"",IF(AND(H262="",C262=""),"",IF(COUNT(H259:H264)&gt;0,L261-IF(I262="",0,I262),"")))</f>
        <v/>
      </c>
    </row>
    <row r="263" spans="2:12">
      <c r="B263" s="540">
        <v>245</v>
      </c>
      <c r="C263" s="551" t="str">
        <f t="shared" si="24"/>
        <v/>
      </c>
      <c r="D263" s="565" t="str">
        <f t="shared" si="26"/>
        <v/>
      </c>
      <c r="E263" s="574" t="str">
        <f t="shared" si="27"/>
        <v/>
      </c>
      <c r="F263" s="580" t="str">
        <f t="shared" si="28"/>
        <v/>
      </c>
      <c r="G263" s="580" t="str">
        <f t="shared" si="29"/>
        <v/>
      </c>
      <c r="H263" s="551" t="str">
        <f>IF(C263="","",IF(OR($D$9=1,$D$9=7),IF(AND(D$7&gt;0,ROUNDDOWN($D$14/6,0)&gt;=41),41,""),""))</f>
        <v/>
      </c>
      <c r="I263" s="565" t="str">
        <f t="shared" si="30"/>
        <v/>
      </c>
      <c r="J263" s="574" t="str">
        <f t="shared" si="31"/>
        <v/>
      </c>
      <c r="K263" s="580" t="str">
        <f t="shared" si="25"/>
        <v/>
      </c>
      <c r="L263" s="591" t="str">
        <f>IF(OR(L262=0,L262=""),"",IF(AND(H263="",C263=""),"",IF(COUNT(H259:H264)&gt;0,L262-IF(I263="",0,I263),"")))</f>
        <v/>
      </c>
    </row>
    <row r="264" spans="2:12">
      <c r="B264" s="540">
        <v>246</v>
      </c>
      <c r="C264" s="552" t="str">
        <f t="shared" si="24"/>
        <v/>
      </c>
      <c r="D264" s="566" t="str">
        <f t="shared" si="26"/>
        <v/>
      </c>
      <c r="E264" s="575" t="str">
        <f t="shared" si="27"/>
        <v/>
      </c>
      <c r="F264" s="581" t="str">
        <f t="shared" si="28"/>
        <v/>
      </c>
      <c r="G264" s="581" t="str">
        <f t="shared" si="29"/>
        <v/>
      </c>
      <c r="H264" s="552" t="str">
        <f>IF(C264="","",IF(OR($D$9=12,$D$9=6),IF(AND(D$7&gt;0,ROUNDDOWN($D$14/6,0)&gt;=41),41,""),""))</f>
        <v/>
      </c>
      <c r="I264" s="566" t="str">
        <f t="shared" si="30"/>
        <v/>
      </c>
      <c r="J264" s="575" t="str">
        <f t="shared" si="31"/>
        <v/>
      </c>
      <c r="K264" s="581" t="str">
        <f t="shared" si="25"/>
        <v/>
      </c>
      <c r="L264" s="592" t="str">
        <f>IF(OR(L263=0,L263=""),"",IF(AND(H264="",C264=""),"",IF(COUNT(H259:H264)&gt;0,L263-IF(I264="",0,I264),"")))</f>
        <v/>
      </c>
    </row>
    <row r="265" spans="2:12">
      <c r="B265" s="540">
        <v>247</v>
      </c>
      <c r="C265" s="551" t="str">
        <f t="shared" si="24"/>
        <v/>
      </c>
      <c r="D265" s="565" t="str">
        <f t="shared" si="26"/>
        <v/>
      </c>
      <c r="E265" s="574" t="str">
        <f t="shared" si="27"/>
        <v/>
      </c>
      <c r="F265" s="580" t="str">
        <f t="shared" si="28"/>
        <v/>
      </c>
      <c r="G265" s="580" t="str">
        <f t="shared" si="29"/>
        <v/>
      </c>
      <c r="H265" s="551" t="str">
        <f>IF(C265="","",IF(OR($D$9=5,$D$9=11),IF(AND(D$7&gt;0,ROUNDDOWN($D$14/6,0)&gt;=42),42,""),""))</f>
        <v/>
      </c>
      <c r="I265" s="565" t="str">
        <f t="shared" si="30"/>
        <v/>
      </c>
      <c r="J265" s="574" t="str">
        <f t="shared" si="31"/>
        <v/>
      </c>
      <c r="K265" s="580" t="str">
        <f t="shared" si="25"/>
        <v/>
      </c>
      <c r="L265" s="591" t="str">
        <f>IF(OR(L264=0,L264=""),"",IF(AND(H265="",C265=""),"",IF(COUNT(H265:H270)&gt;0,L264-IF(I265="",0,I265),"")))</f>
        <v/>
      </c>
    </row>
    <row r="266" spans="2:12">
      <c r="B266" s="540">
        <v>248</v>
      </c>
      <c r="C266" s="551" t="str">
        <f t="shared" si="24"/>
        <v/>
      </c>
      <c r="D266" s="565" t="str">
        <f t="shared" si="26"/>
        <v/>
      </c>
      <c r="E266" s="574" t="str">
        <f t="shared" si="27"/>
        <v/>
      </c>
      <c r="F266" s="580" t="str">
        <f t="shared" si="28"/>
        <v/>
      </c>
      <c r="G266" s="580" t="str">
        <f t="shared" si="29"/>
        <v/>
      </c>
      <c r="H266" s="551" t="str">
        <f>IF(C266="","",IF(OR($D$9=4,$D$9=10),IF(AND(D$7&gt;0,ROUNDDOWN($D$14/6,0)&gt;=42),42,""),""))</f>
        <v/>
      </c>
      <c r="I266" s="565" t="str">
        <f t="shared" si="30"/>
        <v/>
      </c>
      <c r="J266" s="574" t="str">
        <f t="shared" si="31"/>
        <v/>
      </c>
      <c r="K266" s="580" t="str">
        <f t="shared" si="25"/>
        <v/>
      </c>
      <c r="L266" s="591" t="str">
        <f>IF(OR(L265=0,L265=""),"",IF(AND(H266="",C266=""),"",IF(COUNT(H265:H270)&gt;0,L265-IF(I266="",0,I266),"")))</f>
        <v/>
      </c>
    </row>
    <row r="267" spans="2:12">
      <c r="B267" s="540">
        <v>249</v>
      </c>
      <c r="C267" s="551" t="str">
        <f t="shared" si="24"/>
        <v/>
      </c>
      <c r="D267" s="565" t="str">
        <f t="shared" si="26"/>
        <v/>
      </c>
      <c r="E267" s="574" t="str">
        <f t="shared" si="27"/>
        <v/>
      </c>
      <c r="F267" s="580" t="str">
        <f t="shared" si="28"/>
        <v/>
      </c>
      <c r="G267" s="580" t="str">
        <f t="shared" si="29"/>
        <v/>
      </c>
      <c r="H267" s="551" t="str">
        <f>IF(C267="","",IF(OR($D$9=3,$D$9=9),IF(AND(D$7&gt;0,ROUNDDOWN($D$14/6,0)&gt;=42),42,""),""))</f>
        <v/>
      </c>
      <c r="I267" s="565" t="str">
        <f t="shared" si="30"/>
        <v/>
      </c>
      <c r="J267" s="574" t="str">
        <f t="shared" si="31"/>
        <v/>
      </c>
      <c r="K267" s="580" t="str">
        <f t="shared" si="25"/>
        <v/>
      </c>
      <c r="L267" s="591" t="str">
        <f>IF(OR(L266=0,L266=""),"",IF(AND(H267="",C267=""),"",IF(COUNT(H265:H270)&gt;0,L266-IF(I267="",0,I267),"")))</f>
        <v/>
      </c>
    </row>
    <row r="268" spans="2:12">
      <c r="B268" s="540">
        <v>250</v>
      </c>
      <c r="C268" s="551" t="str">
        <f t="shared" si="24"/>
        <v/>
      </c>
      <c r="D268" s="565" t="str">
        <f t="shared" si="26"/>
        <v/>
      </c>
      <c r="E268" s="574" t="str">
        <f t="shared" si="27"/>
        <v/>
      </c>
      <c r="F268" s="580" t="str">
        <f t="shared" si="28"/>
        <v/>
      </c>
      <c r="G268" s="580" t="str">
        <f t="shared" si="29"/>
        <v/>
      </c>
      <c r="H268" s="551" t="str">
        <f>IF(C268="","",IF(OR($D$9=2,$D$9=8),IF(AND(D$7&gt;0,ROUNDDOWN($D$14/6,0)&gt;=42),42,""),""))</f>
        <v/>
      </c>
      <c r="I268" s="565" t="str">
        <f t="shared" si="30"/>
        <v/>
      </c>
      <c r="J268" s="574" t="str">
        <f t="shared" si="31"/>
        <v/>
      </c>
      <c r="K268" s="580" t="str">
        <f t="shared" si="25"/>
        <v/>
      </c>
      <c r="L268" s="591" t="str">
        <f>IF(OR(L267=0,L267=""),"",IF(AND(H268="",C268=""),"",IF(COUNT(H265:H270)&gt;0,L267-IF(I268="",0,I268),"")))</f>
        <v/>
      </c>
    </row>
    <row r="269" spans="2:12">
      <c r="B269" s="540">
        <v>251</v>
      </c>
      <c r="C269" s="551" t="str">
        <f t="shared" si="24"/>
        <v/>
      </c>
      <c r="D269" s="565" t="str">
        <f t="shared" si="26"/>
        <v/>
      </c>
      <c r="E269" s="574" t="str">
        <f t="shared" si="27"/>
        <v/>
      </c>
      <c r="F269" s="580" t="str">
        <f t="shared" si="28"/>
        <v/>
      </c>
      <c r="G269" s="580" t="str">
        <f t="shared" si="29"/>
        <v/>
      </c>
      <c r="H269" s="551" t="str">
        <f>IF(C269="","",IF(OR($D$9=1,$D$9=7),IF(AND(D$7&gt;0,ROUNDDOWN($D$14/6,0)&gt;=42),42,""),""))</f>
        <v/>
      </c>
      <c r="I269" s="565" t="str">
        <f t="shared" si="30"/>
        <v/>
      </c>
      <c r="J269" s="574" t="str">
        <f t="shared" si="31"/>
        <v/>
      </c>
      <c r="K269" s="580" t="str">
        <f t="shared" si="25"/>
        <v/>
      </c>
      <c r="L269" s="591" t="str">
        <f>IF(OR(L268=0,L268=""),"",IF(AND(H269="",C269=""),"",IF(COUNT(H265:H270)&gt;0,L268-IF(I269="",0,I269),"")))</f>
        <v/>
      </c>
    </row>
    <row r="270" spans="2:12">
      <c r="B270" s="540">
        <v>252</v>
      </c>
      <c r="C270" s="551" t="str">
        <f t="shared" si="24"/>
        <v/>
      </c>
      <c r="D270" s="565" t="str">
        <f t="shared" si="26"/>
        <v/>
      </c>
      <c r="E270" s="574" t="str">
        <f t="shared" si="27"/>
        <v/>
      </c>
      <c r="F270" s="580" t="str">
        <f t="shared" si="28"/>
        <v/>
      </c>
      <c r="G270" s="580" t="str">
        <f t="shared" si="29"/>
        <v/>
      </c>
      <c r="H270" s="551" t="str">
        <f>IF(C270="","",IF(OR($D$9=12,$D$9=6),IF(AND(D$7&gt;0,ROUNDDOWN($D$14/6,0)&gt;=42),42,""),""))</f>
        <v/>
      </c>
      <c r="I270" s="565" t="str">
        <f t="shared" si="30"/>
        <v/>
      </c>
      <c r="J270" s="574" t="str">
        <f t="shared" si="31"/>
        <v/>
      </c>
      <c r="K270" s="580" t="str">
        <f t="shared" si="25"/>
        <v/>
      </c>
      <c r="L270" s="591" t="str">
        <f>IF(OR(L269=0,L269=""),"",IF(AND(H270="",C270=""),"",IF(COUNT(H265:H270)&gt;0,L269-IF(I270="",0,I270),"")))</f>
        <v/>
      </c>
    </row>
    <row r="271" spans="2:12">
      <c r="B271" s="540">
        <v>253</v>
      </c>
      <c r="C271" s="553" t="str">
        <f t="shared" si="24"/>
        <v/>
      </c>
      <c r="D271" s="567" t="str">
        <f t="shared" si="26"/>
        <v/>
      </c>
      <c r="E271" s="576" t="str">
        <f t="shared" si="27"/>
        <v/>
      </c>
      <c r="F271" s="582" t="str">
        <f t="shared" si="28"/>
        <v/>
      </c>
      <c r="G271" s="582" t="str">
        <f t="shared" si="29"/>
        <v/>
      </c>
      <c r="H271" s="553" t="str">
        <f>IF(C271="","",IF(OR($D$9=5,$D$9=11),IF(AND(D$7&gt;0,ROUNDDOWN($D$14/6,0)&gt;=43),43,""),""))</f>
        <v/>
      </c>
      <c r="I271" s="567" t="str">
        <f t="shared" si="30"/>
        <v/>
      </c>
      <c r="J271" s="576" t="str">
        <f t="shared" si="31"/>
        <v/>
      </c>
      <c r="K271" s="582" t="str">
        <f t="shared" si="25"/>
        <v/>
      </c>
      <c r="L271" s="593" t="str">
        <f>IF(OR(L270=0,L270=""),"",IF(AND(H271="",C271=""),"",IF(COUNT(H271:H276)&gt;0,L270-IF(I271="",0,I271),"")))</f>
        <v/>
      </c>
    </row>
    <row r="272" spans="2:12">
      <c r="B272" s="540">
        <v>254</v>
      </c>
      <c r="C272" s="551" t="str">
        <f t="shared" si="24"/>
        <v/>
      </c>
      <c r="D272" s="565" t="str">
        <f t="shared" si="26"/>
        <v/>
      </c>
      <c r="E272" s="574" t="str">
        <f t="shared" si="27"/>
        <v/>
      </c>
      <c r="F272" s="580" t="str">
        <f t="shared" si="28"/>
        <v/>
      </c>
      <c r="G272" s="580" t="str">
        <f t="shared" si="29"/>
        <v/>
      </c>
      <c r="H272" s="551" t="str">
        <f>IF(C272="","",IF(OR($D$9=4,$D$9=10),IF(AND(D$7&gt;0,ROUNDDOWN($D$14/6,0)&gt;=43),43,""),""))</f>
        <v/>
      </c>
      <c r="I272" s="565" t="str">
        <f t="shared" si="30"/>
        <v/>
      </c>
      <c r="J272" s="574" t="str">
        <f t="shared" si="31"/>
        <v/>
      </c>
      <c r="K272" s="580" t="str">
        <f t="shared" si="25"/>
        <v/>
      </c>
      <c r="L272" s="591" t="str">
        <f>IF(OR(L271=0,L271=""),"",IF(AND(H272="",C272=""),"",IF(COUNT(H271:H276)&gt;0,L271-IF(I272="",0,I272),"")))</f>
        <v/>
      </c>
    </row>
    <row r="273" spans="2:12">
      <c r="B273" s="540">
        <v>255</v>
      </c>
      <c r="C273" s="551" t="str">
        <f t="shared" si="24"/>
        <v/>
      </c>
      <c r="D273" s="565" t="str">
        <f t="shared" si="26"/>
        <v/>
      </c>
      <c r="E273" s="574" t="str">
        <f t="shared" si="27"/>
        <v/>
      </c>
      <c r="F273" s="580" t="str">
        <f t="shared" si="28"/>
        <v/>
      </c>
      <c r="G273" s="580" t="str">
        <f t="shared" si="29"/>
        <v/>
      </c>
      <c r="H273" s="551" t="str">
        <f>IF(C273="","",IF(OR($D$9=3,$D$9=9),IF(AND(D$7&gt;0,ROUNDDOWN($D$14/6,0)&gt;=43),43,""),""))</f>
        <v/>
      </c>
      <c r="I273" s="565" t="str">
        <f t="shared" si="30"/>
        <v/>
      </c>
      <c r="J273" s="574" t="str">
        <f t="shared" si="31"/>
        <v/>
      </c>
      <c r="K273" s="580" t="str">
        <f t="shared" si="25"/>
        <v/>
      </c>
      <c r="L273" s="591" t="str">
        <f>IF(OR(L272=0,L272=""),"",IF(AND(H273="",C273=""),"",IF(COUNT(H271:H276)&gt;0,L272-IF(I273="",0,I273),"")))</f>
        <v/>
      </c>
    </row>
    <row r="274" spans="2:12">
      <c r="B274" s="540">
        <v>256</v>
      </c>
      <c r="C274" s="551" t="str">
        <f t="shared" si="24"/>
        <v/>
      </c>
      <c r="D274" s="565" t="str">
        <f t="shared" si="26"/>
        <v/>
      </c>
      <c r="E274" s="574" t="str">
        <f t="shared" si="27"/>
        <v/>
      </c>
      <c r="F274" s="580" t="str">
        <f t="shared" si="28"/>
        <v/>
      </c>
      <c r="G274" s="580" t="str">
        <f t="shared" si="29"/>
        <v/>
      </c>
      <c r="H274" s="551" t="str">
        <f>IF(C274="","",IF(OR($D$9=2,$D$9=8),IF(AND(D$7&gt;0,ROUNDDOWN($D$14/6,0)&gt;=43),43,""),""))</f>
        <v/>
      </c>
      <c r="I274" s="565" t="str">
        <f t="shared" si="30"/>
        <v/>
      </c>
      <c r="J274" s="574" t="str">
        <f t="shared" si="31"/>
        <v/>
      </c>
      <c r="K274" s="580" t="str">
        <f t="shared" si="25"/>
        <v/>
      </c>
      <c r="L274" s="591" t="str">
        <f>IF(OR(L273=0,L273=""),"",IF(AND(H274="",C274=""),"",IF(COUNT(H271:H276)&gt;0,L273-IF(I274="",0,I274),"")))</f>
        <v/>
      </c>
    </row>
    <row r="275" spans="2:12">
      <c r="B275" s="540">
        <v>257</v>
      </c>
      <c r="C275" s="551" t="str">
        <f t="shared" ref="C275:C338" si="32">IF($D$14&gt;=B275,B275,"")</f>
        <v/>
      </c>
      <c r="D275" s="565" t="str">
        <f t="shared" si="26"/>
        <v/>
      </c>
      <c r="E275" s="574" t="str">
        <f t="shared" si="27"/>
        <v/>
      </c>
      <c r="F275" s="580" t="str">
        <f t="shared" si="28"/>
        <v/>
      </c>
      <c r="G275" s="580" t="str">
        <f t="shared" si="29"/>
        <v/>
      </c>
      <c r="H275" s="551" t="str">
        <f>IF(C275="","",IF(OR($D$9=1,$D$9=7),IF(AND(D$7&gt;0,ROUNDDOWN($D$14/6,0)&gt;=43),43,""),""))</f>
        <v/>
      </c>
      <c r="I275" s="565" t="str">
        <f t="shared" si="30"/>
        <v/>
      </c>
      <c r="J275" s="574" t="str">
        <f t="shared" si="31"/>
        <v/>
      </c>
      <c r="K275" s="580" t="str">
        <f t="shared" ref="K275:K338" si="33">IF(H275="","",IF(H281="",I275+J275,$I$14))</f>
        <v/>
      </c>
      <c r="L275" s="591" t="str">
        <f>IF(OR(L274=0,L274=""),"",IF(AND(H275="",C275=""),"",IF(COUNT(H271:H276)&gt;0,L274-IF(I275="",0,I275),"")))</f>
        <v/>
      </c>
    </row>
    <row r="276" spans="2:12">
      <c r="B276" s="540">
        <v>258</v>
      </c>
      <c r="C276" s="552" t="str">
        <f t="shared" si="32"/>
        <v/>
      </c>
      <c r="D276" s="566" t="str">
        <f t="shared" ref="D276:D339" si="34">IF(C276="","",IF(C276=$D$14,G275,F276-E276))</f>
        <v/>
      </c>
      <c r="E276" s="575" t="str">
        <f t="shared" ref="E276:E339" si="35">IF(C276="","",ROUNDDOWN(G275*$D$13,0))</f>
        <v/>
      </c>
      <c r="F276" s="581" t="str">
        <f t="shared" ref="F276:F339" si="36">IF(C276="","",IF(C276=$D$14,G275+E276,ROUNDDOWN(PMT($D$13,$D$14,-$D$8),0)))</f>
        <v/>
      </c>
      <c r="G276" s="581" t="str">
        <f t="shared" ref="G276:G339" si="37">IF(C276="","",G275-D276)</f>
        <v/>
      </c>
      <c r="H276" s="552" t="str">
        <f>IF(C276="","",IF(OR($D$9=12,$D$9=6),IF(AND(D$7&gt;0,ROUNDDOWN($D$14/6,0)&gt;=43),43,""),""))</f>
        <v/>
      </c>
      <c r="I276" s="566" t="str">
        <f t="shared" ref="I276:I339" si="38">IF(H276="","",IF(H282="",L275,K276-J276))</f>
        <v/>
      </c>
      <c r="J276" s="575" t="str">
        <f t="shared" si="31"/>
        <v/>
      </c>
      <c r="K276" s="581" t="str">
        <f t="shared" si="33"/>
        <v/>
      </c>
      <c r="L276" s="592" t="str">
        <f>IF(OR(L275=0,L275=""),"",IF(AND(H276="",C276=""),"",IF(COUNT(H271:H276)&gt;0,L275-IF(I276="",0,I276),"")))</f>
        <v/>
      </c>
    </row>
    <row r="277" spans="2:12">
      <c r="B277" s="540">
        <v>259</v>
      </c>
      <c r="C277" s="551" t="str">
        <f t="shared" si="32"/>
        <v/>
      </c>
      <c r="D277" s="565" t="str">
        <f t="shared" si="34"/>
        <v/>
      </c>
      <c r="E277" s="574" t="str">
        <f t="shared" si="35"/>
        <v/>
      </c>
      <c r="F277" s="580" t="str">
        <f t="shared" si="36"/>
        <v/>
      </c>
      <c r="G277" s="580" t="str">
        <f t="shared" si="37"/>
        <v/>
      </c>
      <c r="H277" s="551" t="str">
        <f>IF(C277="","",IF(OR($D$9=5,$D$9=11),IF(AND(D$7&gt;0,ROUNDDOWN($D$14/6,0)&gt;=44),44,""),""))</f>
        <v/>
      </c>
      <c r="I277" s="565" t="str">
        <f t="shared" si="38"/>
        <v/>
      </c>
      <c r="J277" s="574" t="str">
        <f t="shared" si="31"/>
        <v/>
      </c>
      <c r="K277" s="580" t="str">
        <f t="shared" si="33"/>
        <v/>
      </c>
      <c r="L277" s="591" t="str">
        <f>IF(OR(L276=0,L276=""),"",IF(AND(H277="",C277=""),"",IF(COUNT(H277:H282)&gt;0,L276-IF(I277="",0,I277),"")))</f>
        <v/>
      </c>
    </row>
    <row r="278" spans="2:12">
      <c r="B278" s="540">
        <v>260</v>
      </c>
      <c r="C278" s="551" t="str">
        <f t="shared" si="32"/>
        <v/>
      </c>
      <c r="D278" s="565" t="str">
        <f t="shared" si="34"/>
        <v/>
      </c>
      <c r="E278" s="574" t="str">
        <f t="shared" si="35"/>
        <v/>
      </c>
      <c r="F278" s="580" t="str">
        <f t="shared" si="36"/>
        <v/>
      </c>
      <c r="G278" s="580" t="str">
        <f t="shared" si="37"/>
        <v/>
      </c>
      <c r="H278" s="551" t="str">
        <f>IF(C278="","",IF(OR($D$9=4,$D$9=10),IF(AND(D$7&gt;0,ROUNDDOWN($D$14/6,0)&gt;=44),44,""),""))</f>
        <v/>
      </c>
      <c r="I278" s="565" t="str">
        <f t="shared" si="38"/>
        <v/>
      </c>
      <c r="J278" s="574" t="str">
        <f t="shared" si="31"/>
        <v/>
      </c>
      <c r="K278" s="580" t="str">
        <f t="shared" si="33"/>
        <v/>
      </c>
      <c r="L278" s="591" t="str">
        <f>IF(OR(L277=0,L277=""),"",IF(AND(H278="",C278=""),"",IF(COUNT(H277:H282)&gt;0,L277-IF(I278="",0,I278),"")))</f>
        <v/>
      </c>
    </row>
    <row r="279" spans="2:12">
      <c r="B279" s="540">
        <v>261</v>
      </c>
      <c r="C279" s="551" t="str">
        <f t="shared" si="32"/>
        <v/>
      </c>
      <c r="D279" s="565" t="str">
        <f t="shared" si="34"/>
        <v/>
      </c>
      <c r="E279" s="574" t="str">
        <f t="shared" si="35"/>
        <v/>
      </c>
      <c r="F279" s="580" t="str">
        <f t="shared" si="36"/>
        <v/>
      </c>
      <c r="G279" s="580" t="str">
        <f t="shared" si="37"/>
        <v/>
      </c>
      <c r="H279" s="551" t="str">
        <f>IF(C279="","",IF(OR($D$9=3,$D$9=9),IF(AND(D$7&gt;0,ROUNDDOWN($D$14/6,0)&gt;=44),44,""),""))</f>
        <v/>
      </c>
      <c r="I279" s="565" t="str">
        <f t="shared" si="38"/>
        <v/>
      </c>
      <c r="J279" s="574" t="str">
        <f t="shared" si="31"/>
        <v/>
      </c>
      <c r="K279" s="580" t="str">
        <f t="shared" si="33"/>
        <v/>
      </c>
      <c r="L279" s="591" t="str">
        <f>IF(OR(L278=0,L278=""),"",IF(AND(H279="",C279=""),"",IF(COUNT(H277:H282)&gt;0,L278-IF(I279="",0,I279),"")))</f>
        <v/>
      </c>
    </row>
    <row r="280" spans="2:12">
      <c r="B280" s="540">
        <v>262</v>
      </c>
      <c r="C280" s="551" t="str">
        <f t="shared" si="32"/>
        <v/>
      </c>
      <c r="D280" s="565" t="str">
        <f t="shared" si="34"/>
        <v/>
      </c>
      <c r="E280" s="574" t="str">
        <f t="shared" si="35"/>
        <v/>
      </c>
      <c r="F280" s="580" t="str">
        <f t="shared" si="36"/>
        <v/>
      </c>
      <c r="G280" s="580" t="str">
        <f t="shared" si="37"/>
        <v/>
      </c>
      <c r="H280" s="551" t="str">
        <f>IF(C280="","",IF(OR($D$9=2,$D$9=8),IF(AND(D$7&gt;0,ROUNDDOWN($D$14/6,0)&gt;=44),44,""),""))</f>
        <v/>
      </c>
      <c r="I280" s="565" t="str">
        <f t="shared" si="38"/>
        <v/>
      </c>
      <c r="J280" s="574" t="str">
        <f t="shared" si="31"/>
        <v/>
      </c>
      <c r="K280" s="580" t="str">
        <f t="shared" si="33"/>
        <v/>
      </c>
      <c r="L280" s="591" t="str">
        <f>IF(OR(L279=0,L279=""),"",IF(AND(H280="",C280=""),"",IF(COUNT(H277:H282)&gt;0,L279-IF(I280="",0,I280),"")))</f>
        <v/>
      </c>
    </row>
    <row r="281" spans="2:12">
      <c r="B281" s="540">
        <v>263</v>
      </c>
      <c r="C281" s="551" t="str">
        <f t="shared" si="32"/>
        <v/>
      </c>
      <c r="D281" s="565" t="str">
        <f t="shared" si="34"/>
        <v/>
      </c>
      <c r="E281" s="574" t="str">
        <f t="shared" si="35"/>
        <v/>
      </c>
      <c r="F281" s="580" t="str">
        <f t="shared" si="36"/>
        <v/>
      </c>
      <c r="G281" s="580" t="str">
        <f t="shared" si="37"/>
        <v/>
      </c>
      <c r="H281" s="551" t="str">
        <f>IF(C281="","",IF(OR($D$9=1,$D$9=7),IF(AND(D$7&gt;0,ROUNDDOWN($D$14/6,0)&gt;=44),44,""),""))</f>
        <v/>
      </c>
      <c r="I281" s="565" t="str">
        <f t="shared" si="38"/>
        <v/>
      </c>
      <c r="J281" s="574" t="str">
        <f t="shared" ref="J281:J344" si="39">IF(H281="","",ROUNDDOWN(L280*$D$12,0))</f>
        <v/>
      </c>
      <c r="K281" s="580" t="str">
        <f t="shared" si="33"/>
        <v/>
      </c>
      <c r="L281" s="591" t="str">
        <f>IF(OR(L280=0,L280=""),"",IF(AND(H281="",C281=""),"",IF(COUNT(H277:H282)&gt;0,L280-IF(I281="",0,I281),"")))</f>
        <v/>
      </c>
    </row>
    <row r="282" spans="2:12">
      <c r="B282" s="540">
        <v>264</v>
      </c>
      <c r="C282" s="551" t="str">
        <f t="shared" si="32"/>
        <v/>
      </c>
      <c r="D282" s="565" t="str">
        <f t="shared" si="34"/>
        <v/>
      </c>
      <c r="E282" s="574" t="str">
        <f t="shared" si="35"/>
        <v/>
      </c>
      <c r="F282" s="580" t="str">
        <f t="shared" si="36"/>
        <v/>
      </c>
      <c r="G282" s="580" t="str">
        <f t="shared" si="37"/>
        <v/>
      </c>
      <c r="H282" s="551" t="str">
        <f>IF(C282="","",IF(OR($D$9=12,$D$9=6),IF(AND(D$7&gt;0,ROUNDDOWN($D$14/6,0)&gt;=44),44,""),""))</f>
        <v/>
      </c>
      <c r="I282" s="565" t="str">
        <f t="shared" si="38"/>
        <v/>
      </c>
      <c r="J282" s="574" t="str">
        <f t="shared" si="39"/>
        <v/>
      </c>
      <c r="K282" s="580" t="str">
        <f t="shared" si="33"/>
        <v/>
      </c>
      <c r="L282" s="591" t="str">
        <f>IF(OR(L281=0,L281=""),"",IF(AND(H282="",C282=""),"",IF(COUNT(H277:H282)&gt;0,L281-IF(I282="",0,I282),"")))</f>
        <v/>
      </c>
    </row>
    <row r="283" spans="2:12">
      <c r="B283" s="540">
        <v>265</v>
      </c>
      <c r="C283" s="553" t="str">
        <f t="shared" si="32"/>
        <v/>
      </c>
      <c r="D283" s="567" t="str">
        <f t="shared" si="34"/>
        <v/>
      </c>
      <c r="E283" s="576" t="str">
        <f t="shared" si="35"/>
        <v/>
      </c>
      <c r="F283" s="582" t="str">
        <f t="shared" si="36"/>
        <v/>
      </c>
      <c r="G283" s="582" t="str">
        <f t="shared" si="37"/>
        <v/>
      </c>
      <c r="H283" s="553" t="str">
        <f>IF(C283="","",IF(OR($D$9=5,$D$9=11),IF(AND(D$7&gt;0,ROUNDDOWN($D$14/6,0)&gt;=45),45,""),""))</f>
        <v/>
      </c>
      <c r="I283" s="567" t="str">
        <f t="shared" si="38"/>
        <v/>
      </c>
      <c r="J283" s="576" t="str">
        <f t="shared" si="39"/>
        <v/>
      </c>
      <c r="K283" s="582" t="str">
        <f t="shared" si="33"/>
        <v/>
      </c>
      <c r="L283" s="593" t="str">
        <f>IF(OR(L282=0,L282=""),"",IF(AND(H283="",C283=""),"",IF(COUNT(H283:H288)&gt;0,L282-IF(I283="",0,I283),"")))</f>
        <v/>
      </c>
    </row>
    <row r="284" spans="2:12">
      <c r="B284" s="540">
        <v>266</v>
      </c>
      <c r="C284" s="551" t="str">
        <f t="shared" si="32"/>
        <v/>
      </c>
      <c r="D284" s="565" t="str">
        <f t="shared" si="34"/>
        <v/>
      </c>
      <c r="E284" s="574" t="str">
        <f t="shared" si="35"/>
        <v/>
      </c>
      <c r="F284" s="580" t="str">
        <f t="shared" si="36"/>
        <v/>
      </c>
      <c r="G284" s="580" t="str">
        <f t="shared" si="37"/>
        <v/>
      </c>
      <c r="H284" s="551" t="str">
        <f>IF(C284="","",IF(OR($D$9=4,$D$9=10),IF(AND(D$7&gt;0,ROUNDDOWN($D$14/6,0)&gt;=45),45,""),""))</f>
        <v/>
      </c>
      <c r="I284" s="565" t="str">
        <f t="shared" si="38"/>
        <v/>
      </c>
      <c r="J284" s="574" t="str">
        <f t="shared" si="39"/>
        <v/>
      </c>
      <c r="K284" s="580" t="str">
        <f t="shared" si="33"/>
        <v/>
      </c>
      <c r="L284" s="591" t="str">
        <f>IF(OR(L283=0,L283=""),"",IF(AND(H284="",C284=""),"",IF(COUNT(H283:H288)&gt;0,L283-IF(I284="",0,I284),"")))</f>
        <v/>
      </c>
    </row>
    <row r="285" spans="2:12">
      <c r="B285" s="540">
        <v>267</v>
      </c>
      <c r="C285" s="551" t="str">
        <f t="shared" si="32"/>
        <v/>
      </c>
      <c r="D285" s="565" t="str">
        <f t="shared" si="34"/>
        <v/>
      </c>
      <c r="E285" s="574" t="str">
        <f t="shared" si="35"/>
        <v/>
      </c>
      <c r="F285" s="580" t="str">
        <f t="shared" si="36"/>
        <v/>
      </c>
      <c r="G285" s="580" t="str">
        <f t="shared" si="37"/>
        <v/>
      </c>
      <c r="H285" s="551" t="str">
        <f>IF(C285="","",IF(OR($D$9=3,$D$9=9),IF(AND(D$7&gt;0,ROUNDDOWN($D$14/6,0)&gt;=45),45,""),""))</f>
        <v/>
      </c>
      <c r="I285" s="565" t="str">
        <f t="shared" si="38"/>
        <v/>
      </c>
      <c r="J285" s="574" t="str">
        <f t="shared" si="39"/>
        <v/>
      </c>
      <c r="K285" s="580" t="str">
        <f t="shared" si="33"/>
        <v/>
      </c>
      <c r="L285" s="591" t="str">
        <f>IF(OR(L284=0,L284=""),"",IF(AND(H285="",C285=""),"",IF(COUNT(H283:H288)&gt;0,L284-IF(I285="",0,I285),"")))</f>
        <v/>
      </c>
    </row>
    <row r="286" spans="2:12">
      <c r="B286" s="540">
        <v>268</v>
      </c>
      <c r="C286" s="551" t="str">
        <f t="shared" si="32"/>
        <v/>
      </c>
      <c r="D286" s="565" t="str">
        <f t="shared" si="34"/>
        <v/>
      </c>
      <c r="E286" s="574" t="str">
        <f t="shared" si="35"/>
        <v/>
      </c>
      <c r="F286" s="580" t="str">
        <f t="shared" si="36"/>
        <v/>
      </c>
      <c r="G286" s="580" t="str">
        <f t="shared" si="37"/>
        <v/>
      </c>
      <c r="H286" s="551" t="str">
        <f>IF(C286="","",IF(OR($D$9=2,$D$9=8),IF(AND(D$7&gt;0,ROUNDDOWN($D$14/6,0)&gt;=45),45,""),""))</f>
        <v/>
      </c>
      <c r="I286" s="565" t="str">
        <f t="shared" si="38"/>
        <v/>
      </c>
      <c r="J286" s="574" t="str">
        <f t="shared" si="39"/>
        <v/>
      </c>
      <c r="K286" s="580" t="str">
        <f t="shared" si="33"/>
        <v/>
      </c>
      <c r="L286" s="591" t="str">
        <f>IF(OR(L285=0,L285=""),"",IF(AND(H286="",C286=""),"",IF(COUNT(H283:H288)&gt;0,L285-IF(I286="",0,I286),"")))</f>
        <v/>
      </c>
    </row>
    <row r="287" spans="2:12">
      <c r="B287" s="540">
        <v>269</v>
      </c>
      <c r="C287" s="551" t="str">
        <f t="shared" si="32"/>
        <v/>
      </c>
      <c r="D287" s="565" t="str">
        <f t="shared" si="34"/>
        <v/>
      </c>
      <c r="E287" s="574" t="str">
        <f t="shared" si="35"/>
        <v/>
      </c>
      <c r="F287" s="580" t="str">
        <f t="shared" si="36"/>
        <v/>
      </c>
      <c r="G287" s="580" t="str">
        <f t="shared" si="37"/>
        <v/>
      </c>
      <c r="H287" s="551" t="str">
        <f>IF(C287="","",IF(OR($D$9=1,$D$9=7),IF(AND(D$7&gt;0,ROUNDDOWN($D$14/6,0)&gt;=45),45,""),""))</f>
        <v/>
      </c>
      <c r="I287" s="565" t="str">
        <f t="shared" si="38"/>
        <v/>
      </c>
      <c r="J287" s="574" t="str">
        <f t="shared" si="39"/>
        <v/>
      </c>
      <c r="K287" s="580" t="str">
        <f t="shared" si="33"/>
        <v/>
      </c>
      <c r="L287" s="591" t="str">
        <f>IF(OR(L286=0,L286=""),"",IF(AND(H287="",C287=""),"",IF(COUNT(H283:H288)&gt;0,L286-IF(I287="",0,I287),"")))</f>
        <v/>
      </c>
    </row>
    <row r="288" spans="2:12">
      <c r="B288" s="540">
        <v>270</v>
      </c>
      <c r="C288" s="552" t="str">
        <f t="shared" si="32"/>
        <v/>
      </c>
      <c r="D288" s="566" t="str">
        <f t="shared" si="34"/>
        <v/>
      </c>
      <c r="E288" s="575" t="str">
        <f t="shared" si="35"/>
        <v/>
      </c>
      <c r="F288" s="581" t="str">
        <f t="shared" si="36"/>
        <v/>
      </c>
      <c r="G288" s="581" t="str">
        <f t="shared" si="37"/>
        <v/>
      </c>
      <c r="H288" s="552" t="str">
        <f>IF(C288="","",IF(OR($D$9=12,$D$9=6),IF(AND(D$7&gt;0,ROUNDDOWN($D$14/6,0)&gt;=45),45,""),""))</f>
        <v/>
      </c>
      <c r="I288" s="566" t="str">
        <f t="shared" si="38"/>
        <v/>
      </c>
      <c r="J288" s="575" t="str">
        <f t="shared" si="39"/>
        <v/>
      </c>
      <c r="K288" s="581" t="str">
        <f t="shared" si="33"/>
        <v/>
      </c>
      <c r="L288" s="592" t="str">
        <f>IF(OR(L287=0,L287=""),"",IF(AND(H288="",C288=""),"",IF(COUNT(H283:H288)&gt;0,L287-IF(I288="",0,I288),"")))</f>
        <v/>
      </c>
    </row>
    <row r="289" spans="2:12">
      <c r="B289" s="540">
        <v>271</v>
      </c>
      <c r="C289" s="551" t="str">
        <f t="shared" si="32"/>
        <v/>
      </c>
      <c r="D289" s="565" t="str">
        <f t="shared" si="34"/>
        <v/>
      </c>
      <c r="E289" s="574" t="str">
        <f t="shared" si="35"/>
        <v/>
      </c>
      <c r="F289" s="580" t="str">
        <f t="shared" si="36"/>
        <v/>
      </c>
      <c r="G289" s="580" t="str">
        <f t="shared" si="37"/>
        <v/>
      </c>
      <c r="H289" s="551" t="str">
        <f>IF(C289="","",IF(OR($D$9=5,$D$9=11),IF(AND(D$7&gt;0,ROUNDDOWN($D$14/6,0)&gt;=46),46,""),""))</f>
        <v/>
      </c>
      <c r="I289" s="565" t="str">
        <f t="shared" si="38"/>
        <v/>
      </c>
      <c r="J289" s="574" t="str">
        <f t="shared" si="39"/>
        <v/>
      </c>
      <c r="K289" s="580" t="str">
        <f t="shared" si="33"/>
        <v/>
      </c>
      <c r="L289" s="591" t="str">
        <f>IF(OR(L288=0,L288=""),"",IF(AND(H289="",C289=""),"",IF(COUNT(H289:H294)&gt;0,L288-IF(I289="",0,I289),"")))</f>
        <v/>
      </c>
    </row>
    <row r="290" spans="2:12">
      <c r="B290" s="540">
        <v>272</v>
      </c>
      <c r="C290" s="551" t="str">
        <f t="shared" si="32"/>
        <v/>
      </c>
      <c r="D290" s="565" t="str">
        <f t="shared" si="34"/>
        <v/>
      </c>
      <c r="E290" s="574" t="str">
        <f t="shared" si="35"/>
        <v/>
      </c>
      <c r="F290" s="580" t="str">
        <f t="shared" si="36"/>
        <v/>
      </c>
      <c r="G290" s="580" t="str">
        <f t="shared" si="37"/>
        <v/>
      </c>
      <c r="H290" s="551" t="str">
        <f>IF(C290="","",IF(OR($D$9=4,$D$9=10),IF(AND(D$7&gt;0,ROUNDDOWN($D$14/6,0)&gt;=46),46,""),""))</f>
        <v/>
      </c>
      <c r="I290" s="565" t="str">
        <f t="shared" si="38"/>
        <v/>
      </c>
      <c r="J290" s="574" t="str">
        <f t="shared" si="39"/>
        <v/>
      </c>
      <c r="K290" s="580" t="str">
        <f t="shared" si="33"/>
        <v/>
      </c>
      <c r="L290" s="591" t="str">
        <f>IF(OR(L289=0,L289=""),"",IF(AND(H290="",C290=""),"",IF(COUNT(H289:H294)&gt;0,L289-IF(I290="",0,I290),"")))</f>
        <v/>
      </c>
    </row>
    <row r="291" spans="2:12">
      <c r="B291" s="540">
        <v>273</v>
      </c>
      <c r="C291" s="551" t="str">
        <f t="shared" si="32"/>
        <v/>
      </c>
      <c r="D291" s="565" t="str">
        <f t="shared" si="34"/>
        <v/>
      </c>
      <c r="E291" s="574" t="str">
        <f t="shared" si="35"/>
        <v/>
      </c>
      <c r="F291" s="580" t="str">
        <f t="shared" si="36"/>
        <v/>
      </c>
      <c r="G291" s="580" t="str">
        <f t="shared" si="37"/>
        <v/>
      </c>
      <c r="H291" s="551" t="str">
        <f>IF(C291="","",IF(OR($D$9=3,$D$9=9),IF(AND(D$7&gt;0,ROUNDDOWN($D$14/6,0)&gt;=46),46,""),""))</f>
        <v/>
      </c>
      <c r="I291" s="565" t="str">
        <f t="shared" si="38"/>
        <v/>
      </c>
      <c r="J291" s="574" t="str">
        <f t="shared" si="39"/>
        <v/>
      </c>
      <c r="K291" s="580" t="str">
        <f t="shared" si="33"/>
        <v/>
      </c>
      <c r="L291" s="591" t="str">
        <f>IF(OR(L290=0,L290=""),"",IF(AND(H291="",C291=""),"",IF(COUNT(H289:H294)&gt;0,L290-IF(I291="",0,I291),"")))</f>
        <v/>
      </c>
    </row>
    <row r="292" spans="2:12">
      <c r="B292" s="540">
        <v>274</v>
      </c>
      <c r="C292" s="551" t="str">
        <f t="shared" si="32"/>
        <v/>
      </c>
      <c r="D292" s="565" t="str">
        <f t="shared" si="34"/>
        <v/>
      </c>
      <c r="E292" s="574" t="str">
        <f t="shared" si="35"/>
        <v/>
      </c>
      <c r="F292" s="580" t="str">
        <f t="shared" si="36"/>
        <v/>
      </c>
      <c r="G292" s="580" t="str">
        <f t="shared" si="37"/>
        <v/>
      </c>
      <c r="H292" s="551" t="str">
        <f>IF(C292="","",IF(OR($D$9=2,$D$9=8),IF(AND(D$7&gt;0,ROUNDDOWN($D$14/6,0)&gt;=46),46,""),""))</f>
        <v/>
      </c>
      <c r="I292" s="565" t="str">
        <f t="shared" si="38"/>
        <v/>
      </c>
      <c r="J292" s="574" t="str">
        <f t="shared" si="39"/>
        <v/>
      </c>
      <c r="K292" s="580" t="str">
        <f t="shared" si="33"/>
        <v/>
      </c>
      <c r="L292" s="591" t="str">
        <f>IF(OR(L291=0,L291=""),"",IF(AND(H292="",C292=""),"",IF(COUNT(H289:H294)&gt;0,L291-IF(I292="",0,I292),"")))</f>
        <v/>
      </c>
    </row>
    <row r="293" spans="2:12">
      <c r="B293" s="540">
        <v>275</v>
      </c>
      <c r="C293" s="551" t="str">
        <f t="shared" si="32"/>
        <v/>
      </c>
      <c r="D293" s="565" t="str">
        <f t="shared" si="34"/>
        <v/>
      </c>
      <c r="E293" s="574" t="str">
        <f t="shared" si="35"/>
        <v/>
      </c>
      <c r="F293" s="580" t="str">
        <f t="shared" si="36"/>
        <v/>
      </c>
      <c r="G293" s="580" t="str">
        <f t="shared" si="37"/>
        <v/>
      </c>
      <c r="H293" s="551" t="str">
        <f>IF(C293="","",IF(OR($D$9=1,$D$9=7),IF(AND(D$7&gt;0,ROUNDDOWN($D$14/6,0)&gt;=46),46,""),""))</f>
        <v/>
      </c>
      <c r="I293" s="565" t="str">
        <f t="shared" si="38"/>
        <v/>
      </c>
      <c r="J293" s="574" t="str">
        <f t="shared" si="39"/>
        <v/>
      </c>
      <c r="K293" s="580" t="str">
        <f t="shared" si="33"/>
        <v/>
      </c>
      <c r="L293" s="591" t="str">
        <f>IF(OR(L292=0,L292=""),"",IF(AND(H293="",C293=""),"",IF(COUNT(H289:H294)&gt;0,L292-IF(I293="",0,I293),"")))</f>
        <v/>
      </c>
    </row>
    <row r="294" spans="2:12">
      <c r="B294" s="540">
        <v>276</v>
      </c>
      <c r="C294" s="551" t="str">
        <f t="shared" si="32"/>
        <v/>
      </c>
      <c r="D294" s="565" t="str">
        <f t="shared" si="34"/>
        <v/>
      </c>
      <c r="E294" s="574" t="str">
        <f t="shared" si="35"/>
        <v/>
      </c>
      <c r="F294" s="580" t="str">
        <f t="shared" si="36"/>
        <v/>
      </c>
      <c r="G294" s="580" t="str">
        <f t="shared" si="37"/>
        <v/>
      </c>
      <c r="H294" s="551" t="str">
        <f>IF(C294="","",IF(OR($D$9=12,$D$9=6),IF(AND(D$7&gt;0,ROUNDDOWN($D$14/6,0)&gt;=46),46,""),""))</f>
        <v/>
      </c>
      <c r="I294" s="565" t="str">
        <f t="shared" si="38"/>
        <v/>
      </c>
      <c r="J294" s="574" t="str">
        <f t="shared" si="39"/>
        <v/>
      </c>
      <c r="K294" s="580" t="str">
        <f t="shared" si="33"/>
        <v/>
      </c>
      <c r="L294" s="591" t="str">
        <f>IF(OR(L293=0,L293=""),"",IF(AND(H294="",C294=""),"",IF(COUNT(H289:H294)&gt;0,L293-IF(I294="",0,I294),"")))</f>
        <v/>
      </c>
    </row>
    <row r="295" spans="2:12">
      <c r="B295" s="540">
        <v>277</v>
      </c>
      <c r="C295" s="553" t="str">
        <f t="shared" si="32"/>
        <v/>
      </c>
      <c r="D295" s="567" t="str">
        <f t="shared" si="34"/>
        <v/>
      </c>
      <c r="E295" s="576" t="str">
        <f t="shared" si="35"/>
        <v/>
      </c>
      <c r="F295" s="582" t="str">
        <f t="shared" si="36"/>
        <v/>
      </c>
      <c r="G295" s="582" t="str">
        <f t="shared" si="37"/>
        <v/>
      </c>
      <c r="H295" s="553" t="str">
        <f>IF(C295="","",IF(OR($D$9=5,$D$9=11),IF(AND(D$7&gt;0,ROUNDDOWN($D$14/6,0)&gt;=47),47,""),""))</f>
        <v/>
      </c>
      <c r="I295" s="567" t="str">
        <f t="shared" si="38"/>
        <v/>
      </c>
      <c r="J295" s="576" t="str">
        <f t="shared" si="39"/>
        <v/>
      </c>
      <c r="K295" s="582" t="str">
        <f t="shared" si="33"/>
        <v/>
      </c>
      <c r="L295" s="593" t="str">
        <f>IF(OR(L294=0,L294=""),"",IF(AND(H295="",C295=""),"",IF(COUNT(H295:H300)&gt;0,L294-IF(I295="",0,I295),"")))</f>
        <v/>
      </c>
    </row>
    <row r="296" spans="2:12">
      <c r="B296" s="540">
        <v>278</v>
      </c>
      <c r="C296" s="551" t="str">
        <f t="shared" si="32"/>
        <v/>
      </c>
      <c r="D296" s="565" t="str">
        <f t="shared" si="34"/>
        <v/>
      </c>
      <c r="E296" s="574" t="str">
        <f t="shared" si="35"/>
        <v/>
      </c>
      <c r="F296" s="580" t="str">
        <f t="shared" si="36"/>
        <v/>
      </c>
      <c r="G296" s="580" t="str">
        <f t="shared" si="37"/>
        <v/>
      </c>
      <c r="H296" s="551" t="str">
        <f>IF(C296="","",IF(OR($D$9=4,$D$9=10),IF(AND(D$7&gt;0,ROUNDDOWN($D$14/6,0)&gt;=47),47,""),""))</f>
        <v/>
      </c>
      <c r="I296" s="565" t="str">
        <f t="shared" si="38"/>
        <v/>
      </c>
      <c r="J296" s="574" t="str">
        <f t="shared" si="39"/>
        <v/>
      </c>
      <c r="K296" s="580" t="str">
        <f t="shared" si="33"/>
        <v/>
      </c>
      <c r="L296" s="591" t="str">
        <f>IF(OR(L295=0,L295=""),"",IF(AND(H296="",C296=""),"",IF(COUNT(H295:H300)&gt;0,L295-IF(I296="",0,I296),"")))</f>
        <v/>
      </c>
    </row>
    <row r="297" spans="2:12">
      <c r="B297" s="540">
        <v>279</v>
      </c>
      <c r="C297" s="551" t="str">
        <f t="shared" si="32"/>
        <v/>
      </c>
      <c r="D297" s="565" t="str">
        <f t="shared" si="34"/>
        <v/>
      </c>
      <c r="E297" s="574" t="str">
        <f t="shared" si="35"/>
        <v/>
      </c>
      <c r="F297" s="580" t="str">
        <f t="shared" si="36"/>
        <v/>
      </c>
      <c r="G297" s="580" t="str">
        <f t="shared" si="37"/>
        <v/>
      </c>
      <c r="H297" s="551" t="str">
        <f>IF(C297="","",IF(OR($D$9=3,$D$9=9),IF(AND(D$7&gt;0,ROUNDDOWN($D$14/6,0)&gt;=47),47,""),""))</f>
        <v/>
      </c>
      <c r="I297" s="565" t="str">
        <f t="shared" si="38"/>
        <v/>
      </c>
      <c r="J297" s="574" t="str">
        <f t="shared" si="39"/>
        <v/>
      </c>
      <c r="K297" s="580" t="str">
        <f t="shared" si="33"/>
        <v/>
      </c>
      <c r="L297" s="591" t="str">
        <f>IF(OR(L296=0,L296=""),"",IF(AND(H297="",C297=""),"",IF(COUNT(H295:H300)&gt;0,L296-IF(I297="",0,I297),"")))</f>
        <v/>
      </c>
    </row>
    <row r="298" spans="2:12">
      <c r="B298" s="540">
        <v>280</v>
      </c>
      <c r="C298" s="551" t="str">
        <f t="shared" si="32"/>
        <v/>
      </c>
      <c r="D298" s="565" t="str">
        <f t="shared" si="34"/>
        <v/>
      </c>
      <c r="E298" s="574" t="str">
        <f t="shared" si="35"/>
        <v/>
      </c>
      <c r="F298" s="580" t="str">
        <f t="shared" si="36"/>
        <v/>
      </c>
      <c r="G298" s="580" t="str">
        <f t="shared" si="37"/>
        <v/>
      </c>
      <c r="H298" s="551" t="str">
        <f>IF(C298="","",IF(OR($D$9=2,$D$9=8),IF(AND(D$7&gt;0,ROUNDDOWN($D$14/6,0)&gt;=47),47,""),""))</f>
        <v/>
      </c>
      <c r="I298" s="565" t="str">
        <f t="shared" si="38"/>
        <v/>
      </c>
      <c r="J298" s="574" t="str">
        <f t="shared" si="39"/>
        <v/>
      </c>
      <c r="K298" s="580" t="str">
        <f t="shared" si="33"/>
        <v/>
      </c>
      <c r="L298" s="591" t="str">
        <f>IF(OR(L297=0,L297=""),"",IF(AND(H298="",C298=""),"",IF(COUNT(H295:H300)&gt;0,L297-IF(I298="",0,I298),"")))</f>
        <v/>
      </c>
    </row>
    <row r="299" spans="2:12">
      <c r="B299" s="540">
        <v>281</v>
      </c>
      <c r="C299" s="551" t="str">
        <f t="shared" si="32"/>
        <v/>
      </c>
      <c r="D299" s="565" t="str">
        <f t="shared" si="34"/>
        <v/>
      </c>
      <c r="E299" s="574" t="str">
        <f t="shared" si="35"/>
        <v/>
      </c>
      <c r="F299" s="580" t="str">
        <f t="shared" si="36"/>
        <v/>
      </c>
      <c r="G299" s="580" t="str">
        <f t="shared" si="37"/>
        <v/>
      </c>
      <c r="H299" s="551" t="str">
        <f>IF(C299="","",IF(OR($D$9=1,$D$9=7),IF(AND(D$7&gt;0,ROUNDDOWN($D$14/6,0)&gt;=47),47,""),""))</f>
        <v/>
      </c>
      <c r="I299" s="565" t="str">
        <f t="shared" si="38"/>
        <v/>
      </c>
      <c r="J299" s="574" t="str">
        <f t="shared" si="39"/>
        <v/>
      </c>
      <c r="K299" s="580" t="str">
        <f t="shared" si="33"/>
        <v/>
      </c>
      <c r="L299" s="591" t="str">
        <f>IF(OR(L298=0,L298=""),"",IF(AND(H299="",C299=""),"",IF(COUNT(H295:H300)&gt;0,L298-IF(I299="",0,I299),"")))</f>
        <v/>
      </c>
    </row>
    <row r="300" spans="2:12">
      <c r="B300" s="540">
        <v>282</v>
      </c>
      <c r="C300" s="552" t="str">
        <f t="shared" si="32"/>
        <v/>
      </c>
      <c r="D300" s="566" t="str">
        <f t="shared" si="34"/>
        <v/>
      </c>
      <c r="E300" s="575" t="str">
        <f t="shared" si="35"/>
        <v/>
      </c>
      <c r="F300" s="581" t="str">
        <f t="shared" si="36"/>
        <v/>
      </c>
      <c r="G300" s="581" t="str">
        <f t="shared" si="37"/>
        <v/>
      </c>
      <c r="H300" s="552" t="str">
        <f>IF(C300="","",IF(OR($D$9=12,$D$9=6),IF(AND(D$7&gt;0,ROUNDDOWN($D$14/6,0)&gt;=47),47,""),""))</f>
        <v/>
      </c>
      <c r="I300" s="566" t="str">
        <f t="shared" si="38"/>
        <v/>
      </c>
      <c r="J300" s="575" t="str">
        <f t="shared" si="39"/>
        <v/>
      </c>
      <c r="K300" s="581" t="str">
        <f t="shared" si="33"/>
        <v/>
      </c>
      <c r="L300" s="592" t="str">
        <f>IF(OR(L299=0,L299=""),"",IF(AND(H300="",C300=""),"",IF(COUNT(H295:H300)&gt;0,L299-IF(I300="",0,I300),"")))</f>
        <v/>
      </c>
    </row>
    <row r="301" spans="2:12">
      <c r="B301" s="540">
        <v>283</v>
      </c>
      <c r="C301" s="551" t="str">
        <f t="shared" si="32"/>
        <v/>
      </c>
      <c r="D301" s="565" t="str">
        <f t="shared" si="34"/>
        <v/>
      </c>
      <c r="E301" s="574" t="str">
        <f t="shared" si="35"/>
        <v/>
      </c>
      <c r="F301" s="580" t="str">
        <f t="shared" si="36"/>
        <v/>
      </c>
      <c r="G301" s="580" t="str">
        <f t="shared" si="37"/>
        <v/>
      </c>
      <c r="H301" s="551" t="str">
        <f>IF(C301="","",IF(OR($D$9=5,$D$9=11),IF(AND(D$7&gt;0,ROUNDDOWN($D$14/6,0)&gt;=48),48,""),""))</f>
        <v/>
      </c>
      <c r="I301" s="565" t="str">
        <f t="shared" si="38"/>
        <v/>
      </c>
      <c r="J301" s="574" t="str">
        <f t="shared" si="39"/>
        <v/>
      </c>
      <c r="K301" s="580" t="str">
        <f t="shared" si="33"/>
        <v/>
      </c>
      <c r="L301" s="591" t="str">
        <f>IF(OR(L300=0,L300=""),"",IF(AND(H301="",C301=""),"",IF(COUNT(H301:H306)&gt;0,L300-IF(I301="",0,I301),"")))</f>
        <v/>
      </c>
    </row>
    <row r="302" spans="2:12">
      <c r="B302" s="540">
        <v>284</v>
      </c>
      <c r="C302" s="551" t="str">
        <f t="shared" si="32"/>
        <v/>
      </c>
      <c r="D302" s="565" t="str">
        <f t="shared" si="34"/>
        <v/>
      </c>
      <c r="E302" s="574" t="str">
        <f t="shared" si="35"/>
        <v/>
      </c>
      <c r="F302" s="580" t="str">
        <f t="shared" si="36"/>
        <v/>
      </c>
      <c r="G302" s="580" t="str">
        <f t="shared" si="37"/>
        <v/>
      </c>
      <c r="H302" s="551" t="str">
        <f>IF(C302="","",IF(OR($D$9=4,$D$9=10),IF(AND(D$7&gt;0,ROUNDDOWN($D$14/6,0)&gt;=48),48,""),""))</f>
        <v/>
      </c>
      <c r="I302" s="565" t="str">
        <f t="shared" si="38"/>
        <v/>
      </c>
      <c r="J302" s="574" t="str">
        <f t="shared" si="39"/>
        <v/>
      </c>
      <c r="K302" s="580" t="str">
        <f t="shared" si="33"/>
        <v/>
      </c>
      <c r="L302" s="591" t="str">
        <f>IF(OR(L301=0,L301=""),"",IF(AND(H302="",C302=""),"",IF(COUNT(H301:H306)&gt;0,L301-IF(I302="",0,I302),"")))</f>
        <v/>
      </c>
    </row>
    <row r="303" spans="2:12">
      <c r="B303" s="540">
        <v>285</v>
      </c>
      <c r="C303" s="551" t="str">
        <f t="shared" si="32"/>
        <v/>
      </c>
      <c r="D303" s="565" t="str">
        <f t="shared" si="34"/>
        <v/>
      </c>
      <c r="E303" s="574" t="str">
        <f t="shared" si="35"/>
        <v/>
      </c>
      <c r="F303" s="580" t="str">
        <f t="shared" si="36"/>
        <v/>
      </c>
      <c r="G303" s="580" t="str">
        <f t="shared" si="37"/>
        <v/>
      </c>
      <c r="H303" s="551" t="str">
        <f>IF(C303="","",IF(OR($D$9=3,$D$9=9),IF(AND(D$7&gt;0,ROUNDDOWN($D$14/6,0)&gt;=48),48,""),""))</f>
        <v/>
      </c>
      <c r="I303" s="565" t="str">
        <f t="shared" si="38"/>
        <v/>
      </c>
      <c r="J303" s="574" t="str">
        <f t="shared" si="39"/>
        <v/>
      </c>
      <c r="K303" s="580" t="str">
        <f t="shared" si="33"/>
        <v/>
      </c>
      <c r="L303" s="591" t="str">
        <f>IF(OR(L302=0,L302=""),"",IF(AND(H303="",C303=""),"",IF(COUNT(H301:H306)&gt;0,L302-IF(I303="",0,I303),"")))</f>
        <v/>
      </c>
    </row>
    <row r="304" spans="2:12">
      <c r="B304" s="540">
        <v>286</v>
      </c>
      <c r="C304" s="551" t="str">
        <f t="shared" si="32"/>
        <v/>
      </c>
      <c r="D304" s="565" t="str">
        <f t="shared" si="34"/>
        <v/>
      </c>
      <c r="E304" s="574" t="str">
        <f t="shared" si="35"/>
        <v/>
      </c>
      <c r="F304" s="580" t="str">
        <f t="shared" si="36"/>
        <v/>
      </c>
      <c r="G304" s="580" t="str">
        <f t="shared" si="37"/>
        <v/>
      </c>
      <c r="H304" s="551" t="str">
        <f>IF(C304="","",IF(OR($D$9=2,$D$9=8),IF(AND(D$7&gt;0,ROUNDDOWN($D$14/6,0)&gt;=48),48,""),""))</f>
        <v/>
      </c>
      <c r="I304" s="565" t="str">
        <f t="shared" si="38"/>
        <v/>
      </c>
      <c r="J304" s="574" t="str">
        <f t="shared" si="39"/>
        <v/>
      </c>
      <c r="K304" s="580" t="str">
        <f t="shared" si="33"/>
        <v/>
      </c>
      <c r="L304" s="591" t="str">
        <f>IF(OR(L303=0,L303=""),"",IF(AND(H304="",C304=""),"",IF(COUNT(H301:H306)&gt;0,L303-IF(I304="",0,I304),"")))</f>
        <v/>
      </c>
    </row>
    <row r="305" spans="2:12">
      <c r="B305" s="540">
        <v>287</v>
      </c>
      <c r="C305" s="551" t="str">
        <f t="shared" si="32"/>
        <v/>
      </c>
      <c r="D305" s="565" t="str">
        <f t="shared" si="34"/>
        <v/>
      </c>
      <c r="E305" s="574" t="str">
        <f t="shared" si="35"/>
        <v/>
      </c>
      <c r="F305" s="580" t="str">
        <f t="shared" si="36"/>
        <v/>
      </c>
      <c r="G305" s="580" t="str">
        <f t="shared" si="37"/>
        <v/>
      </c>
      <c r="H305" s="551" t="str">
        <f>IF(C305="","",IF(OR($D$9=1,$D$9=7),IF(AND(D$7&gt;0,ROUNDDOWN($D$14/6,0)&gt;=48),48,""),""))</f>
        <v/>
      </c>
      <c r="I305" s="565" t="str">
        <f t="shared" si="38"/>
        <v/>
      </c>
      <c r="J305" s="574" t="str">
        <f t="shared" si="39"/>
        <v/>
      </c>
      <c r="K305" s="580" t="str">
        <f t="shared" si="33"/>
        <v/>
      </c>
      <c r="L305" s="591" t="str">
        <f>IF(OR(L304=0,L304=""),"",IF(AND(H305="",C305=""),"",IF(COUNT(H301:H306)&gt;0,L304-IF(I305="",0,I305),"")))</f>
        <v/>
      </c>
    </row>
    <row r="306" spans="2:12">
      <c r="B306" s="540">
        <v>288</v>
      </c>
      <c r="C306" s="551" t="str">
        <f t="shared" si="32"/>
        <v/>
      </c>
      <c r="D306" s="565" t="str">
        <f t="shared" si="34"/>
        <v/>
      </c>
      <c r="E306" s="574" t="str">
        <f t="shared" si="35"/>
        <v/>
      </c>
      <c r="F306" s="580" t="str">
        <f t="shared" si="36"/>
        <v/>
      </c>
      <c r="G306" s="580" t="str">
        <f t="shared" si="37"/>
        <v/>
      </c>
      <c r="H306" s="551" t="str">
        <f>IF(C306="","",IF(OR($D$9=12,$D$9=6),IF(AND(D$7&gt;0,ROUNDDOWN($D$14/6,0)&gt;=48),48,""),""))</f>
        <v/>
      </c>
      <c r="I306" s="565" t="str">
        <f t="shared" si="38"/>
        <v/>
      </c>
      <c r="J306" s="574" t="str">
        <f t="shared" si="39"/>
        <v/>
      </c>
      <c r="K306" s="580" t="str">
        <f t="shared" si="33"/>
        <v/>
      </c>
      <c r="L306" s="591" t="str">
        <f>IF(OR(L305=0,L305=""),"",IF(AND(H306="",C306=""),"",IF(COUNT(H301:H306)&gt;0,L305-IF(I306="",0,I306),"")))</f>
        <v/>
      </c>
    </row>
    <row r="307" spans="2:12">
      <c r="B307" s="540">
        <v>289</v>
      </c>
      <c r="C307" s="553" t="str">
        <f t="shared" si="32"/>
        <v/>
      </c>
      <c r="D307" s="567" t="str">
        <f t="shared" si="34"/>
        <v/>
      </c>
      <c r="E307" s="576" t="str">
        <f t="shared" si="35"/>
        <v/>
      </c>
      <c r="F307" s="582" t="str">
        <f t="shared" si="36"/>
        <v/>
      </c>
      <c r="G307" s="582" t="str">
        <f t="shared" si="37"/>
        <v/>
      </c>
      <c r="H307" s="553" t="str">
        <f>IF(C307="","",IF(OR($D$9=5,$D$9=11),IF(AND(D$7&gt;0,ROUNDDOWN($D$14/6,0)&gt;=49),49,""),""))</f>
        <v/>
      </c>
      <c r="I307" s="567" t="str">
        <f t="shared" si="38"/>
        <v/>
      </c>
      <c r="J307" s="576" t="str">
        <f t="shared" si="39"/>
        <v/>
      </c>
      <c r="K307" s="582" t="str">
        <f t="shared" si="33"/>
        <v/>
      </c>
      <c r="L307" s="593" t="str">
        <f>IF(OR(L306=0,L306=""),"",IF(AND(H307="",C307=""),"",IF(COUNT(H307:H312)&gt;0,L306-IF(I307="",0,I307),"")))</f>
        <v/>
      </c>
    </row>
    <row r="308" spans="2:12">
      <c r="B308" s="540">
        <v>290</v>
      </c>
      <c r="C308" s="551" t="str">
        <f t="shared" si="32"/>
        <v/>
      </c>
      <c r="D308" s="565" t="str">
        <f t="shared" si="34"/>
        <v/>
      </c>
      <c r="E308" s="574" t="str">
        <f t="shared" si="35"/>
        <v/>
      </c>
      <c r="F308" s="580" t="str">
        <f t="shared" si="36"/>
        <v/>
      </c>
      <c r="G308" s="580" t="str">
        <f t="shared" si="37"/>
        <v/>
      </c>
      <c r="H308" s="551" t="str">
        <f>IF(C308="","",IF(OR($D$9=4,$D$9=10),IF(AND(D$7&gt;0,ROUNDDOWN($D$14/6,0)&gt;=49),49,""),""))</f>
        <v/>
      </c>
      <c r="I308" s="565" t="str">
        <f t="shared" si="38"/>
        <v/>
      </c>
      <c r="J308" s="574" t="str">
        <f t="shared" si="39"/>
        <v/>
      </c>
      <c r="K308" s="580" t="str">
        <f t="shared" si="33"/>
        <v/>
      </c>
      <c r="L308" s="591" t="str">
        <f>IF(OR(L307=0,L307=""),"",IF(AND(H308="",C308=""),"",IF(COUNT(H307:H312)&gt;0,L307-IF(I308="",0,I308),"")))</f>
        <v/>
      </c>
    </row>
    <row r="309" spans="2:12">
      <c r="B309" s="540">
        <v>291</v>
      </c>
      <c r="C309" s="551" t="str">
        <f t="shared" si="32"/>
        <v/>
      </c>
      <c r="D309" s="565" t="str">
        <f t="shared" si="34"/>
        <v/>
      </c>
      <c r="E309" s="574" t="str">
        <f t="shared" si="35"/>
        <v/>
      </c>
      <c r="F309" s="580" t="str">
        <f t="shared" si="36"/>
        <v/>
      </c>
      <c r="G309" s="580" t="str">
        <f t="shared" si="37"/>
        <v/>
      </c>
      <c r="H309" s="551" t="str">
        <f>IF(C309="","",IF(OR($D$9=3,$D$9=9),IF(AND(D$7&gt;0,ROUNDDOWN($D$14/6,0)&gt;=49),49,""),""))</f>
        <v/>
      </c>
      <c r="I309" s="565" t="str">
        <f t="shared" si="38"/>
        <v/>
      </c>
      <c r="J309" s="574" t="str">
        <f t="shared" si="39"/>
        <v/>
      </c>
      <c r="K309" s="580" t="str">
        <f t="shared" si="33"/>
        <v/>
      </c>
      <c r="L309" s="591" t="str">
        <f>IF(OR(L308=0,L308=""),"",IF(AND(H309="",C309=""),"",IF(COUNT(H307:H312)&gt;0,L308-IF(I309="",0,I309),"")))</f>
        <v/>
      </c>
    </row>
    <row r="310" spans="2:12">
      <c r="B310" s="540">
        <v>292</v>
      </c>
      <c r="C310" s="551" t="str">
        <f t="shared" si="32"/>
        <v/>
      </c>
      <c r="D310" s="565" t="str">
        <f t="shared" si="34"/>
        <v/>
      </c>
      <c r="E310" s="574" t="str">
        <f t="shared" si="35"/>
        <v/>
      </c>
      <c r="F310" s="580" t="str">
        <f t="shared" si="36"/>
        <v/>
      </c>
      <c r="G310" s="580" t="str">
        <f t="shared" si="37"/>
        <v/>
      </c>
      <c r="H310" s="551" t="str">
        <f>IF(C310="","",IF(OR($D$9=2,$D$9=8),IF(AND(D$7&gt;0,ROUNDDOWN($D$14/6,0)&gt;=49),49,""),""))</f>
        <v/>
      </c>
      <c r="I310" s="565" t="str">
        <f t="shared" si="38"/>
        <v/>
      </c>
      <c r="J310" s="574" t="str">
        <f t="shared" si="39"/>
        <v/>
      </c>
      <c r="K310" s="580" t="str">
        <f t="shared" si="33"/>
        <v/>
      </c>
      <c r="L310" s="591" t="str">
        <f>IF(OR(L309=0,L309=""),"",IF(AND(H310="",C310=""),"",IF(COUNT(H307:H312)&gt;0,L309-IF(I310="",0,I310),"")))</f>
        <v/>
      </c>
    </row>
    <row r="311" spans="2:12">
      <c r="B311" s="540">
        <v>293</v>
      </c>
      <c r="C311" s="551" t="str">
        <f t="shared" si="32"/>
        <v/>
      </c>
      <c r="D311" s="565" t="str">
        <f t="shared" si="34"/>
        <v/>
      </c>
      <c r="E311" s="574" t="str">
        <f t="shared" si="35"/>
        <v/>
      </c>
      <c r="F311" s="580" t="str">
        <f t="shared" si="36"/>
        <v/>
      </c>
      <c r="G311" s="580" t="str">
        <f t="shared" si="37"/>
        <v/>
      </c>
      <c r="H311" s="551" t="str">
        <f>IF(C311="","",IF(OR($D$9=1,$D$9=7),IF(AND(D$7&gt;0,ROUNDDOWN($D$14/6,0)&gt;=49),49,""),""))</f>
        <v/>
      </c>
      <c r="I311" s="565" t="str">
        <f t="shared" si="38"/>
        <v/>
      </c>
      <c r="J311" s="574" t="str">
        <f t="shared" si="39"/>
        <v/>
      </c>
      <c r="K311" s="580" t="str">
        <f t="shared" si="33"/>
        <v/>
      </c>
      <c r="L311" s="591" t="str">
        <f>IF(OR(L310=0,L310=""),"",IF(AND(H311="",C311=""),"",IF(COUNT(H307:H312)&gt;0,L310-IF(I311="",0,I311),"")))</f>
        <v/>
      </c>
    </row>
    <row r="312" spans="2:12">
      <c r="B312" s="540">
        <v>294</v>
      </c>
      <c r="C312" s="552" t="str">
        <f t="shared" si="32"/>
        <v/>
      </c>
      <c r="D312" s="566" t="str">
        <f t="shared" si="34"/>
        <v/>
      </c>
      <c r="E312" s="575" t="str">
        <f t="shared" si="35"/>
        <v/>
      </c>
      <c r="F312" s="581" t="str">
        <f t="shared" si="36"/>
        <v/>
      </c>
      <c r="G312" s="581" t="str">
        <f t="shared" si="37"/>
        <v/>
      </c>
      <c r="H312" s="551" t="str">
        <f>IF(C312="","",IF(OR($D$9=12,$D$9=6),IF(AND(D$7&gt;0,ROUNDDOWN($D$14/6,0)&gt;=49),49,""),""))</f>
        <v/>
      </c>
      <c r="I312" s="566" t="str">
        <f t="shared" si="38"/>
        <v/>
      </c>
      <c r="J312" s="575" t="str">
        <f t="shared" si="39"/>
        <v/>
      </c>
      <c r="K312" s="581" t="str">
        <f t="shared" si="33"/>
        <v/>
      </c>
      <c r="L312" s="592" t="str">
        <f>IF(OR(L311=0,L311=""),"",IF(AND(H312="",C312=""),"",IF(COUNT(H307:H312)&gt;0,L311-IF(I312="",0,I312),"")))</f>
        <v/>
      </c>
    </row>
    <row r="313" spans="2:12">
      <c r="B313" s="540">
        <v>295</v>
      </c>
      <c r="C313" s="551" t="str">
        <f t="shared" si="32"/>
        <v/>
      </c>
      <c r="D313" s="565" t="str">
        <f t="shared" si="34"/>
        <v/>
      </c>
      <c r="E313" s="574" t="str">
        <f t="shared" si="35"/>
        <v/>
      </c>
      <c r="F313" s="580" t="str">
        <f t="shared" si="36"/>
        <v/>
      </c>
      <c r="G313" s="580" t="str">
        <f t="shared" si="37"/>
        <v/>
      </c>
      <c r="H313" s="553" t="str">
        <f>IF(C313="","",IF(OR($D$9=5,$D$9=11),IF(AND(D$7&gt;0,ROUNDDOWN($D$14/6,0)&gt;=50),50,""),""))</f>
        <v/>
      </c>
      <c r="I313" s="565" t="str">
        <f t="shared" si="38"/>
        <v/>
      </c>
      <c r="J313" s="574" t="str">
        <f t="shared" si="39"/>
        <v/>
      </c>
      <c r="K313" s="580" t="str">
        <f t="shared" si="33"/>
        <v/>
      </c>
      <c r="L313" s="591" t="str">
        <f>IF(OR(L312=0,L312=""),"",IF(AND(H313="",C313=""),"",IF(COUNT(H313:H318)&gt;0,L312-IF(I313="",0,I313),"")))</f>
        <v/>
      </c>
    </row>
    <row r="314" spans="2:12">
      <c r="B314" s="540">
        <v>296</v>
      </c>
      <c r="C314" s="551" t="str">
        <f t="shared" si="32"/>
        <v/>
      </c>
      <c r="D314" s="565" t="str">
        <f t="shared" si="34"/>
        <v/>
      </c>
      <c r="E314" s="574" t="str">
        <f t="shared" si="35"/>
        <v/>
      </c>
      <c r="F314" s="580" t="str">
        <f t="shared" si="36"/>
        <v/>
      </c>
      <c r="G314" s="580" t="str">
        <f t="shared" si="37"/>
        <v/>
      </c>
      <c r="H314" s="551" t="str">
        <f>IF(C314="","",IF(OR($D$9=4,$D$9=10),IF(AND(D$7&gt;0,ROUNDDOWN($D$14/6,0)&gt;=50),50,""),""))</f>
        <v/>
      </c>
      <c r="I314" s="565" t="str">
        <f t="shared" si="38"/>
        <v/>
      </c>
      <c r="J314" s="574" t="str">
        <f t="shared" si="39"/>
        <v/>
      </c>
      <c r="K314" s="580" t="str">
        <f t="shared" si="33"/>
        <v/>
      </c>
      <c r="L314" s="591" t="str">
        <f>IF(OR(L313=0,L313=""),"",IF(AND(H314="",C314=""),"",IF(COUNT(H313:H318)&gt;0,L313-IF(I314="",0,I314),"")))</f>
        <v/>
      </c>
    </row>
    <row r="315" spans="2:12">
      <c r="B315" s="540">
        <v>297</v>
      </c>
      <c r="C315" s="551" t="str">
        <f t="shared" si="32"/>
        <v/>
      </c>
      <c r="D315" s="565" t="str">
        <f t="shared" si="34"/>
        <v/>
      </c>
      <c r="E315" s="574" t="str">
        <f t="shared" si="35"/>
        <v/>
      </c>
      <c r="F315" s="580" t="str">
        <f t="shared" si="36"/>
        <v/>
      </c>
      <c r="G315" s="580" t="str">
        <f t="shared" si="37"/>
        <v/>
      </c>
      <c r="H315" s="551" t="str">
        <f>IF(C315="","",IF(OR($D$9=3,$D$9=9),IF(AND(D$7&gt;0,ROUNDDOWN($D$14/6,0)&gt;=50),50,""),""))</f>
        <v/>
      </c>
      <c r="I315" s="565" t="str">
        <f t="shared" si="38"/>
        <v/>
      </c>
      <c r="J315" s="574" t="str">
        <f t="shared" si="39"/>
        <v/>
      </c>
      <c r="K315" s="580" t="str">
        <f t="shared" si="33"/>
        <v/>
      </c>
      <c r="L315" s="591" t="str">
        <f>IF(OR(L314=0,L314=""),"",IF(AND(H315="",C315=""),"",IF(COUNT(H313:H318)&gt;0,L314-IF(I315="",0,I315),"")))</f>
        <v/>
      </c>
    </row>
    <row r="316" spans="2:12">
      <c r="B316" s="540">
        <v>298</v>
      </c>
      <c r="C316" s="551" t="str">
        <f t="shared" si="32"/>
        <v/>
      </c>
      <c r="D316" s="565" t="str">
        <f t="shared" si="34"/>
        <v/>
      </c>
      <c r="E316" s="574" t="str">
        <f t="shared" si="35"/>
        <v/>
      </c>
      <c r="F316" s="580" t="str">
        <f t="shared" si="36"/>
        <v/>
      </c>
      <c r="G316" s="580" t="str">
        <f t="shared" si="37"/>
        <v/>
      </c>
      <c r="H316" s="551" t="str">
        <f>IF(C316="","",IF(OR($D$9=2,$D$9=8),IF(AND(D$7&gt;0,ROUNDDOWN($D$14/6,0)&gt;=50),50,""),""))</f>
        <v/>
      </c>
      <c r="I316" s="565" t="str">
        <f t="shared" si="38"/>
        <v/>
      </c>
      <c r="J316" s="574" t="str">
        <f t="shared" si="39"/>
        <v/>
      </c>
      <c r="K316" s="580" t="str">
        <f t="shared" si="33"/>
        <v/>
      </c>
      <c r="L316" s="591" t="str">
        <f>IF(OR(L315=0,L315=""),"",IF(AND(H316="",C316=""),"",IF(COUNT(H313:H318)&gt;0,L315-IF(I316="",0,I316),"")))</f>
        <v/>
      </c>
    </row>
    <row r="317" spans="2:12">
      <c r="B317" s="540">
        <v>299</v>
      </c>
      <c r="C317" s="551" t="str">
        <f t="shared" si="32"/>
        <v/>
      </c>
      <c r="D317" s="565" t="str">
        <f t="shared" si="34"/>
        <v/>
      </c>
      <c r="E317" s="574" t="str">
        <f t="shared" si="35"/>
        <v/>
      </c>
      <c r="F317" s="580" t="str">
        <f t="shared" si="36"/>
        <v/>
      </c>
      <c r="G317" s="580" t="str">
        <f t="shared" si="37"/>
        <v/>
      </c>
      <c r="H317" s="551" t="str">
        <f>IF(C317="","",IF(OR($D$9=1,$D$9=7),IF(AND(D$7&gt;0,ROUNDDOWN($D$14/6,0)&gt;=50),50,""),""))</f>
        <v/>
      </c>
      <c r="I317" s="565" t="str">
        <f t="shared" si="38"/>
        <v/>
      </c>
      <c r="J317" s="574" t="str">
        <f t="shared" si="39"/>
        <v/>
      </c>
      <c r="K317" s="580" t="str">
        <f t="shared" si="33"/>
        <v/>
      </c>
      <c r="L317" s="591" t="str">
        <f>IF(OR(L316=0,L316=""),"",IF(AND(H317="",C317=""),"",IF(COUNT(H313:H318)&gt;0,L316-IF(I317="",0,I317),"")))</f>
        <v/>
      </c>
    </row>
    <row r="318" spans="2:12">
      <c r="B318" s="540">
        <v>300</v>
      </c>
      <c r="C318" s="551" t="str">
        <f t="shared" si="32"/>
        <v/>
      </c>
      <c r="D318" s="565" t="str">
        <f t="shared" si="34"/>
        <v/>
      </c>
      <c r="E318" s="574" t="str">
        <f t="shared" si="35"/>
        <v/>
      </c>
      <c r="F318" s="580" t="str">
        <f t="shared" si="36"/>
        <v/>
      </c>
      <c r="G318" s="580" t="str">
        <f t="shared" si="37"/>
        <v/>
      </c>
      <c r="H318" s="552" t="str">
        <f>IF(C318="","",IF(OR($D$9=12,$D$9=6),IF(AND(D$7&gt;0,ROUNDDOWN($D$14/6,0)&gt;=50),50,""),""))</f>
        <v/>
      </c>
      <c r="I318" s="565" t="str">
        <f t="shared" si="38"/>
        <v/>
      </c>
      <c r="J318" s="574" t="str">
        <f t="shared" si="39"/>
        <v/>
      </c>
      <c r="K318" s="580" t="str">
        <f t="shared" si="33"/>
        <v/>
      </c>
      <c r="L318" s="591" t="str">
        <f>IF(OR(L317=0,L317=""),"",IF(AND(H318="",C318=""),"",IF(COUNT(H313:H318)&gt;0,L317-IF(I318="",0,I318),"")))</f>
        <v/>
      </c>
    </row>
    <row r="319" spans="2:12">
      <c r="B319" s="540">
        <v>301</v>
      </c>
      <c r="C319" s="553" t="str">
        <f t="shared" si="32"/>
        <v/>
      </c>
      <c r="D319" s="567" t="str">
        <f t="shared" si="34"/>
        <v/>
      </c>
      <c r="E319" s="576" t="str">
        <f t="shared" si="35"/>
        <v/>
      </c>
      <c r="F319" s="582" t="str">
        <f t="shared" si="36"/>
        <v/>
      </c>
      <c r="G319" s="582" t="str">
        <f t="shared" si="37"/>
        <v/>
      </c>
      <c r="H319" s="551" t="str">
        <f>IF(C319="","",IF(OR($D$9=5,$D$9=11),IF(AND(D$7&gt;0,ROUNDDOWN($D$14/6,0)&gt;=51),51,""),""))</f>
        <v/>
      </c>
      <c r="I319" s="603" t="str">
        <f t="shared" si="38"/>
        <v/>
      </c>
      <c r="J319" s="576" t="str">
        <f t="shared" si="39"/>
        <v/>
      </c>
      <c r="K319" s="582" t="str">
        <f t="shared" si="33"/>
        <v/>
      </c>
      <c r="L319" s="593" t="str">
        <f>IF(OR(L318=0,L318=""),"",IF(AND(H319="",C319=""),"",IF(COUNT(H319:H324)&gt;0,L318-IF(I319="",0,I319),"")))</f>
        <v/>
      </c>
    </row>
    <row r="320" spans="2:12">
      <c r="B320" s="540">
        <v>302</v>
      </c>
      <c r="C320" s="551" t="str">
        <f t="shared" si="32"/>
        <v/>
      </c>
      <c r="D320" s="565" t="str">
        <f t="shared" si="34"/>
        <v/>
      </c>
      <c r="E320" s="574" t="str">
        <f t="shared" si="35"/>
        <v/>
      </c>
      <c r="F320" s="580" t="str">
        <f t="shared" si="36"/>
        <v/>
      </c>
      <c r="G320" s="580" t="str">
        <f t="shared" si="37"/>
        <v/>
      </c>
      <c r="H320" s="551" t="str">
        <f>IF(C320="","",IF(OR($D$9=4,$D$9=10),IF(AND(D$7&gt;0,ROUNDDOWN($D$14/6,0)&gt;=51),51,""),""))</f>
        <v/>
      </c>
      <c r="I320" s="565" t="str">
        <f t="shared" si="38"/>
        <v/>
      </c>
      <c r="J320" s="574" t="str">
        <f t="shared" si="39"/>
        <v/>
      </c>
      <c r="K320" s="580" t="str">
        <f t="shared" si="33"/>
        <v/>
      </c>
      <c r="L320" s="591" t="str">
        <f>IF(OR(L319=0,L319=""),"",IF(AND(H320="",C320=""),"",IF(COUNT(H319:H324)&gt;0,L319-IF(I320="",0,I320),"")))</f>
        <v/>
      </c>
    </row>
    <row r="321" spans="2:12">
      <c r="B321" s="540">
        <v>303</v>
      </c>
      <c r="C321" s="551" t="str">
        <f t="shared" si="32"/>
        <v/>
      </c>
      <c r="D321" s="565" t="str">
        <f t="shared" si="34"/>
        <v/>
      </c>
      <c r="E321" s="574" t="str">
        <f t="shared" si="35"/>
        <v/>
      </c>
      <c r="F321" s="580" t="str">
        <f t="shared" si="36"/>
        <v/>
      </c>
      <c r="G321" s="580" t="str">
        <f t="shared" si="37"/>
        <v/>
      </c>
      <c r="H321" s="551" t="str">
        <f>IF(C321="","",IF(OR($D$9=3,$D$9=9),IF(AND(D$7&gt;0,ROUNDDOWN($D$14/6,0)&gt;=51),51,""),""))</f>
        <v/>
      </c>
      <c r="I321" s="565" t="str">
        <f t="shared" si="38"/>
        <v/>
      </c>
      <c r="J321" s="574" t="str">
        <f t="shared" si="39"/>
        <v/>
      </c>
      <c r="K321" s="580" t="str">
        <f t="shared" si="33"/>
        <v/>
      </c>
      <c r="L321" s="591" t="str">
        <f>IF(OR(L320=0,L320=""),"",IF(AND(H321="",C321=""),"",IF(COUNT(H319:H324)&gt;0,L320-IF(I321="",0,I321),"")))</f>
        <v/>
      </c>
    </row>
    <row r="322" spans="2:12">
      <c r="B322" s="540">
        <v>304</v>
      </c>
      <c r="C322" s="551" t="str">
        <f t="shared" si="32"/>
        <v/>
      </c>
      <c r="D322" s="565" t="str">
        <f t="shared" si="34"/>
        <v/>
      </c>
      <c r="E322" s="574" t="str">
        <f t="shared" si="35"/>
        <v/>
      </c>
      <c r="F322" s="580" t="str">
        <f t="shared" si="36"/>
        <v/>
      </c>
      <c r="G322" s="580" t="str">
        <f t="shared" si="37"/>
        <v/>
      </c>
      <c r="H322" s="551" t="str">
        <f>IF(C322="","",IF(OR($D$9=2,$D$9=8),IF(AND(D$7&gt;0,ROUNDDOWN($D$14/6,0)&gt;=51),51,""),""))</f>
        <v/>
      </c>
      <c r="I322" s="565" t="str">
        <f t="shared" si="38"/>
        <v/>
      </c>
      <c r="J322" s="574" t="str">
        <f t="shared" si="39"/>
        <v/>
      </c>
      <c r="K322" s="580" t="str">
        <f t="shared" si="33"/>
        <v/>
      </c>
      <c r="L322" s="591" t="str">
        <f>IF(OR(L321=0,L321=""),"",IF(AND(H322="",C322=""),"",IF(COUNT(H319:H324)&gt;0,L321-IF(I322="",0,I322),"")))</f>
        <v/>
      </c>
    </row>
    <row r="323" spans="2:12">
      <c r="B323" s="540">
        <v>305</v>
      </c>
      <c r="C323" s="551" t="str">
        <f t="shared" si="32"/>
        <v/>
      </c>
      <c r="D323" s="565" t="str">
        <f t="shared" si="34"/>
        <v/>
      </c>
      <c r="E323" s="574" t="str">
        <f t="shared" si="35"/>
        <v/>
      </c>
      <c r="F323" s="580" t="str">
        <f t="shared" si="36"/>
        <v/>
      </c>
      <c r="G323" s="580" t="str">
        <f t="shared" si="37"/>
        <v/>
      </c>
      <c r="H323" s="551" t="str">
        <f>IF(C323="","",IF(OR($D$9=1,$D$9=7),IF(AND(D$7&gt;0,ROUNDDOWN($D$14/6,0)&gt;=51),51,""),""))</f>
        <v/>
      </c>
      <c r="I323" s="565" t="str">
        <f t="shared" si="38"/>
        <v/>
      </c>
      <c r="J323" s="574" t="str">
        <f t="shared" si="39"/>
        <v/>
      </c>
      <c r="K323" s="580" t="str">
        <f t="shared" si="33"/>
        <v/>
      </c>
      <c r="L323" s="591" t="str">
        <f>IF(OR(L322=0,L322=""),"",IF(AND(H323="",C323=""),"",IF(COUNT(H319:H324)&gt;0,L322-IF(I323="",0,I323),"")))</f>
        <v/>
      </c>
    </row>
    <row r="324" spans="2:12">
      <c r="B324" s="540">
        <v>306</v>
      </c>
      <c r="C324" s="552" t="str">
        <f t="shared" si="32"/>
        <v/>
      </c>
      <c r="D324" s="566" t="str">
        <f t="shared" si="34"/>
        <v/>
      </c>
      <c r="E324" s="575" t="str">
        <f t="shared" si="35"/>
        <v/>
      </c>
      <c r="F324" s="581" t="str">
        <f t="shared" si="36"/>
        <v/>
      </c>
      <c r="G324" s="581" t="str">
        <f t="shared" si="37"/>
        <v/>
      </c>
      <c r="H324" s="551" t="str">
        <f>IF(C324="","",IF(OR($D$9=12,$D$9=6),IF(AND(D$7&gt;0,ROUNDDOWN($D$14/6,0)&gt;=51),51,""),""))</f>
        <v/>
      </c>
      <c r="I324" s="566" t="str">
        <f t="shared" si="38"/>
        <v/>
      </c>
      <c r="J324" s="575" t="str">
        <f t="shared" si="39"/>
        <v/>
      </c>
      <c r="K324" s="581" t="str">
        <f t="shared" si="33"/>
        <v/>
      </c>
      <c r="L324" s="592" t="str">
        <f>IF(OR(L323=0,L323=""),"",IF(AND(H324="",C324=""),"",IF(COUNT(H319:H324)&gt;0,L323-IF(I324="",0,I324),"")))</f>
        <v/>
      </c>
    </row>
    <row r="325" spans="2:12">
      <c r="B325" s="540">
        <v>307</v>
      </c>
      <c r="C325" s="551" t="str">
        <f t="shared" si="32"/>
        <v/>
      </c>
      <c r="D325" s="565" t="str">
        <f t="shared" si="34"/>
        <v/>
      </c>
      <c r="E325" s="574" t="str">
        <f t="shared" si="35"/>
        <v/>
      </c>
      <c r="F325" s="580" t="str">
        <f t="shared" si="36"/>
        <v/>
      </c>
      <c r="G325" s="580" t="str">
        <f t="shared" si="37"/>
        <v/>
      </c>
      <c r="H325" s="553" t="str">
        <f>IF(C325="","",IF(OR($D$9=5,$D$9=11),IF(AND(D$7&gt;0,ROUNDDOWN($D$14/6,0)&gt;=52),52,""),""))</f>
        <v/>
      </c>
      <c r="I325" s="565" t="str">
        <f t="shared" si="38"/>
        <v/>
      </c>
      <c r="J325" s="574" t="str">
        <f t="shared" si="39"/>
        <v/>
      </c>
      <c r="K325" s="580" t="str">
        <f t="shared" si="33"/>
        <v/>
      </c>
      <c r="L325" s="591" t="str">
        <f>IF(OR(L324=0,L324=""),"",IF(AND(H325="",C325=""),"",IF(COUNT(H325:H330)&gt;0,L324-IF(I325="",0,I325),"")))</f>
        <v/>
      </c>
    </row>
    <row r="326" spans="2:12">
      <c r="B326" s="540">
        <v>308</v>
      </c>
      <c r="C326" s="551" t="str">
        <f t="shared" si="32"/>
        <v/>
      </c>
      <c r="D326" s="565" t="str">
        <f t="shared" si="34"/>
        <v/>
      </c>
      <c r="E326" s="574" t="str">
        <f t="shared" si="35"/>
        <v/>
      </c>
      <c r="F326" s="580" t="str">
        <f t="shared" si="36"/>
        <v/>
      </c>
      <c r="G326" s="580" t="str">
        <f t="shared" si="37"/>
        <v/>
      </c>
      <c r="H326" s="551" t="str">
        <f>IF(C326="","",IF(OR($D$9=4,$D$9=10),IF(AND(D$7&gt;0,ROUNDDOWN($D$14/6,0)&gt;=52),52,""),""))</f>
        <v/>
      </c>
      <c r="I326" s="565" t="str">
        <f t="shared" si="38"/>
        <v/>
      </c>
      <c r="J326" s="574" t="str">
        <f t="shared" si="39"/>
        <v/>
      </c>
      <c r="K326" s="580" t="str">
        <f t="shared" si="33"/>
        <v/>
      </c>
      <c r="L326" s="591" t="str">
        <f>IF(OR(L325=0,L325=""),"",IF(AND(H326="",C326=""),"",IF(COUNT(H325:H330)&gt;0,L325-IF(I326="",0,I326),"")))</f>
        <v/>
      </c>
    </row>
    <row r="327" spans="2:12">
      <c r="B327" s="540">
        <v>309</v>
      </c>
      <c r="C327" s="551" t="str">
        <f t="shared" si="32"/>
        <v/>
      </c>
      <c r="D327" s="565" t="str">
        <f t="shared" si="34"/>
        <v/>
      </c>
      <c r="E327" s="574" t="str">
        <f t="shared" si="35"/>
        <v/>
      </c>
      <c r="F327" s="580" t="str">
        <f t="shared" si="36"/>
        <v/>
      </c>
      <c r="G327" s="580" t="str">
        <f t="shared" si="37"/>
        <v/>
      </c>
      <c r="H327" s="551" t="str">
        <f>IF(C327="","",IF(OR($D$9=3,$D$9=9),IF(AND(D$7&gt;0,ROUNDDOWN($D$14/6,0)&gt;=52),52,""),""))</f>
        <v/>
      </c>
      <c r="I327" s="565" t="str">
        <f t="shared" si="38"/>
        <v/>
      </c>
      <c r="J327" s="574" t="str">
        <f t="shared" si="39"/>
        <v/>
      </c>
      <c r="K327" s="580" t="str">
        <f t="shared" si="33"/>
        <v/>
      </c>
      <c r="L327" s="591" t="str">
        <f>IF(OR(L326=0,L326=""),"",IF(AND(H327="",C327=""),"",IF(COUNT(H325:H330)&gt;0,L326-IF(I327="",0,I327),"")))</f>
        <v/>
      </c>
    </row>
    <row r="328" spans="2:12">
      <c r="B328" s="540">
        <v>310</v>
      </c>
      <c r="C328" s="551" t="str">
        <f t="shared" si="32"/>
        <v/>
      </c>
      <c r="D328" s="565" t="str">
        <f t="shared" si="34"/>
        <v/>
      </c>
      <c r="E328" s="574" t="str">
        <f t="shared" si="35"/>
        <v/>
      </c>
      <c r="F328" s="580" t="str">
        <f t="shared" si="36"/>
        <v/>
      </c>
      <c r="G328" s="580" t="str">
        <f t="shared" si="37"/>
        <v/>
      </c>
      <c r="H328" s="551" t="str">
        <f>IF(C328="","",IF(OR($D$9=2,$D$9=8),IF(AND(D$7&gt;0,ROUNDDOWN($D$14/6,0)&gt;=52),52,""),""))</f>
        <v/>
      </c>
      <c r="I328" s="565" t="str">
        <f t="shared" si="38"/>
        <v/>
      </c>
      <c r="J328" s="574" t="str">
        <f t="shared" si="39"/>
        <v/>
      </c>
      <c r="K328" s="580" t="str">
        <f t="shared" si="33"/>
        <v/>
      </c>
      <c r="L328" s="591" t="str">
        <f>IF(OR(L327=0,L327=""),"",IF(AND(H328="",C328=""),"",IF(COUNT(H325:H330)&gt;0,L327-IF(I328="",0,I328),"")))</f>
        <v/>
      </c>
    </row>
    <row r="329" spans="2:12">
      <c r="B329" s="540">
        <v>311</v>
      </c>
      <c r="C329" s="551" t="str">
        <f t="shared" si="32"/>
        <v/>
      </c>
      <c r="D329" s="565" t="str">
        <f t="shared" si="34"/>
        <v/>
      </c>
      <c r="E329" s="574" t="str">
        <f t="shared" si="35"/>
        <v/>
      </c>
      <c r="F329" s="580" t="str">
        <f t="shared" si="36"/>
        <v/>
      </c>
      <c r="G329" s="580" t="str">
        <f t="shared" si="37"/>
        <v/>
      </c>
      <c r="H329" s="551" t="str">
        <f>IF(C329="","",IF(OR($D$9=1,$D$9=7),IF(AND(D$7&gt;0,ROUNDDOWN($D$14/6,0)&gt;=52),52,""),""))</f>
        <v/>
      </c>
      <c r="I329" s="565" t="str">
        <f t="shared" si="38"/>
        <v/>
      </c>
      <c r="J329" s="574" t="str">
        <f t="shared" si="39"/>
        <v/>
      </c>
      <c r="K329" s="580" t="str">
        <f t="shared" si="33"/>
        <v/>
      </c>
      <c r="L329" s="591" t="str">
        <f>IF(OR(L328=0,L328=""),"",IF(AND(H329="",C329=""),"",IF(COUNT(H325:H330)&gt;0,L328-IF(I329="",0,I329),"")))</f>
        <v/>
      </c>
    </row>
    <row r="330" spans="2:12">
      <c r="B330" s="540">
        <v>312</v>
      </c>
      <c r="C330" s="551" t="str">
        <f t="shared" si="32"/>
        <v/>
      </c>
      <c r="D330" s="565" t="str">
        <f t="shared" si="34"/>
        <v/>
      </c>
      <c r="E330" s="574" t="str">
        <f t="shared" si="35"/>
        <v/>
      </c>
      <c r="F330" s="580" t="str">
        <f t="shared" si="36"/>
        <v/>
      </c>
      <c r="G330" s="580" t="str">
        <f t="shared" si="37"/>
        <v/>
      </c>
      <c r="H330" s="551" t="str">
        <f>IF(C330="","",IF(OR($D$9=12,$D$9=6),IF(AND(D$7&gt;0,ROUNDDOWN($D$14/6,0)&gt;=52),52,""),""))</f>
        <v/>
      </c>
      <c r="I330" s="565" t="str">
        <f t="shared" si="38"/>
        <v/>
      </c>
      <c r="J330" s="574" t="str">
        <f t="shared" si="39"/>
        <v/>
      </c>
      <c r="K330" s="580" t="str">
        <f t="shared" si="33"/>
        <v/>
      </c>
      <c r="L330" s="591" t="str">
        <f>IF(OR(L329=0,L329=""),"",IF(AND(H330="",C330=""),"",IF(COUNT(H325:H330)&gt;0,L329-IF(I330="",0,I330),"")))</f>
        <v/>
      </c>
    </row>
    <row r="331" spans="2:12">
      <c r="B331" s="540">
        <v>313</v>
      </c>
      <c r="C331" s="553" t="str">
        <f t="shared" si="32"/>
        <v/>
      </c>
      <c r="D331" s="567" t="str">
        <f t="shared" si="34"/>
        <v/>
      </c>
      <c r="E331" s="576" t="str">
        <f t="shared" si="35"/>
        <v/>
      </c>
      <c r="F331" s="582" t="str">
        <f t="shared" si="36"/>
        <v/>
      </c>
      <c r="G331" s="582" t="str">
        <f t="shared" si="37"/>
        <v/>
      </c>
      <c r="H331" s="553" t="str">
        <f>IF(C331="","",IF(OR($D$9=5,$D$9=11),IF(AND(D$7&gt;0,ROUNDDOWN($D$14/6,0)&gt;=53),53,""),""))</f>
        <v/>
      </c>
      <c r="I331" s="567" t="str">
        <f t="shared" si="38"/>
        <v/>
      </c>
      <c r="J331" s="576" t="str">
        <f t="shared" si="39"/>
        <v/>
      </c>
      <c r="K331" s="582" t="str">
        <f t="shared" si="33"/>
        <v/>
      </c>
      <c r="L331" s="593" t="str">
        <f>IF(OR(L330=0,L330=""),"",IF(AND(H331="",C331=""),"",IF(COUNT(H331:H336)&gt;0,L330-IF(I331="",0,I331),"")))</f>
        <v/>
      </c>
    </row>
    <row r="332" spans="2:12">
      <c r="B332" s="540">
        <v>314</v>
      </c>
      <c r="C332" s="551" t="str">
        <f t="shared" si="32"/>
        <v/>
      </c>
      <c r="D332" s="565" t="str">
        <f t="shared" si="34"/>
        <v/>
      </c>
      <c r="E332" s="574" t="str">
        <f t="shared" si="35"/>
        <v/>
      </c>
      <c r="F332" s="580" t="str">
        <f t="shared" si="36"/>
        <v/>
      </c>
      <c r="G332" s="580" t="str">
        <f t="shared" si="37"/>
        <v/>
      </c>
      <c r="H332" s="551" t="str">
        <f>IF(C332="","",IF(OR($D$9=4,$D$9=10),IF(AND(D$7&gt;0,ROUNDDOWN($D$14/6,0)&gt;=53),53,""),""))</f>
        <v/>
      </c>
      <c r="I332" s="565" t="str">
        <f t="shared" si="38"/>
        <v/>
      </c>
      <c r="J332" s="574" t="str">
        <f t="shared" si="39"/>
        <v/>
      </c>
      <c r="K332" s="580" t="str">
        <f t="shared" si="33"/>
        <v/>
      </c>
      <c r="L332" s="591" t="str">
        <f>IF(OR(L331=0,L331=""),"",IF(AND(H332="",C332=""),"",IF(COUNT(H331:H336)&gt;0,L331-IF(I332="",0,I332),"")))</f>
        <v/>
      </c>
    </row>
    <row r="333" spans="2:12">
      <c r="B333" s="540">
        <v>315</v>
      </c>
      <c r="C333" s="551" t="str">
        <f t="shared" si="32"/>
        <v/>
      </c>
      <c r="D333" s="565" t="str">
        <f t="shared" si="34"/>
        <v/>
      </c>
      <c r="E333" s="574" t="str">
        <f t="shared" si="35"/>
        <v/>
      </c>
      <c r="F333" s="580" t="str">
        <f t="shared" si="36"/>
        <v/>
      </c>
      <c r="G333" s="580" t="str">
        <f t="shared" si="37"/>
        <v/>
      </c>
      <c r="H333" s="551" t="str">
        <f>IF(C333="","",IF(OR($D$9=3,$D$9=9),IF(AND(D$7&gt;0,ROUNDDOWN($D$14/6,0)&gt;=53),53,""),""))</f>
        <v/>
      </c>
      <c r="I333" s="565" t="str">
        <f t="shared" si="38"/>
        <v/>
      </c>
      <c r="J333" s="574" t="str">
        <f t="shared" si="39"/>
        <v/>
      </c>
      <c r="K333" s="580" t="str">
        <f t="shared" si="33"/>
        <v/>
      </c>
      <c r="L333" s="591" t="str">
        <f>IF(OR(L332=0,L332=""),"",IF(AND(H333="",C333=""),"",IF(COUNT(H331:H336)&gt;0,L332-IF(I333="",0,I333),"")))</f>
        <v/>
      </c>
    </row>
    <row r="334" spans="2:12">
      <c r="B334" s="540">
        <v>316</v>
      </c>
      <c r="C334" s="551" t="str">
        <f t="shared" si="32"/>
        <v/>
      </c>
      <c r="D334" s="565" t="str">
        <f t="shared" si="34"/>
        <v/>
      </c>
      <c r="E334" s="574" t="str">
        <f t="shared" si="35"/>
        <v/>
      </c>
      <c r="F334" s="580" t="str">
        <f t="shared" si="36"/>
        <v/>
      </c>
      <c r="G334" s="580" t="str">
        <f t="shared" si="37"/>
        <v/>
      </c>
      <c r="H334" s="551" t="str">
        <f>IF(C334="","",IF(OR($D$9=2,$D$9=8),IF(AND(D$7&gt;0,ROUNDDOWN($D$14/6,0)&gt;=53),53,""),""))</f>
        <v/>
      </c>
      <c r="I334" s="565" t="str">
        <f t="shared" si="38"/>
        <v/>
      </c>
      <c r="J334" s="574" t="str">
        <f t="shared" si="39"/>
        <v/>
      </c>
      <c r="K334" s="580" t="str">
        <f t="shared" si="33"/>
        <v/>
      </c>
      <c r="L334" s="591" t="str">
        <f>IF(OR(L333=0,L333=""),"",IF(AND(H334="",C334=""),"",IF(COUNT(H331:H336)&gt;0,L333-IF(I334="",0,I334),"")))</f>
        <v/>
      </c>
    </row>
    <row r="335" spans="2:12">
      <c r="B335" s="540">
        <v>317</v>
      </c>
      <c r="C335" s="551" t="str">
        <f t="shared" si="32"/>
        <v/>
      </c>
      <c r="D335" s="565" t="str">
        <f t="shared" si="34"/>
        <v/>
      </c>
      <c r="E335" s="574" t="str">
        <f t="shared" si="35"/>
        <v/>
      </c>
      <c r="F335" s="580" t="str">
        <f t="shared" si="36"/>
        <v/>
      </c>
      <c r="G335" s="580" t="str">
        <f t="shared" si="37"/>
        <v/>
      </c>
      <c r="H335" s="551" t="str">
        <f>IF(C335="","",IF(OR($D$9=1,$D$9=7),IF(AND(D$7&gt;0,ROUNDDOWN($D$14/6,0)&gt;=53),53,""),""))</f>
        <v/>
      </c>
      <c r="I335" s="565" t="str">
        <f t="shared" si="38"/>
        <v/>
      </c>
      <c r="J335" s="574" t="str">
        <f t="shared" si="39"/>
        <v/>
      </c>
      <c r="K335" s="580" t="str">
        <f t="shared" si="33"/>
        <v/>
      </c>
      <c r="L335" s="591" t="str">
        <f>IF(OR(L334=0,L334=""),"",IF(AND(H335="",C335=""),"",IF(COUNT(H331:H336)&gt;0,L334-IF(I335="",0,I335),"")))</f>
        <v/>
      </c>
    </row>
    <row r="336" spans="2:12">
      <c r="B336" s="540">
        <v>318</v>
      </c>
      <c r="C336" s="552" t="str">
        <f t="shared" si="32"/>
        <v/>
      </c>
      <c r="D336" s="566" t="str">
        <f t="shared" si="34"/>
        <v/>
      </c>
      <c r="E336" s="575" t="str">
        <f t="shared" si="35"/>
        <v/>
      </c>
      <c r="F336" s="581" t="str">
        <f t="shared" si="36"/>
        <v/>
      </c>
      <c r="G336" s="581" t="str">
        <f t="shared" si="37"/>
        <v/>
      </c>
      <c r="H336" s="552" t="str">
        <f>IF(C336="","",IF(OR($D$9=12,$D$9=6),IF(AND(D$7&gt;0,ROUNDDOWN($D$14/6,0)&gt;=53),53,""),""))</f>
        <v/>
      </c>
      <c r="I336" s="566" t="str">
        <f t="shared" si="38"/>
        <v/>
      </c>
      <c r="J336" s="575" t="str">
        <f t="shared" si="39"/>
        <v/>
      </c>
      <c r="K336" s="581" t="str">
        <f t="shared" si="33"/>
        <v/>
      </c>
      <c r="L336" s="592" t="str">
        <f>IF(OR(L335=0,L335=""),"",IF(AND(H336="",C336=""),"",IF(COUNT(H331:H336)&gt;0,L335-IF(I336="",0,I336),"")))</f>
        <v/>
      </c>
    </row>
    <row r="337" spans="2:12">
      <c r="B337" s="540">
        <v>319</v>
      </c>
      <c r="C337" s="551" t="str">
        <f t="shared" si="32"/>
        <v/>
      </c>
      <c r="D337" s="565" t="str">
        <f t="shared" si="34"/>
        <v/>
      </c>
      <c r="E337" s="574" t="str">
        <f t="shared" si="35"/>
        <v/>
      </c>
      <c r="F337" s="580" t="str">
        <f t="shared" si="36"/>
        <v/>
      </c>
      <c r="G337" s="580" t="str">
        <f t="shared" si="37"/>
        <v/>
      </c>
      <c r="H337" s="551" t="str">
        <f>IF(C337="","",IF(OR($D$9=5,$D$9=11),IF(AND(D$7&gt;0,ROUNDDOWN($D$14/6,0)&gt;=54),54,""),""))</f>
        <v/>
      </c>
      <c r="I337" s="565" t="str">
        <f t="shared" si="38"/>
        <v/>
      </c>
      <c r="J337" s="574" t="str">
        <f t="shared" si="39"/>
        <v/>
      </c>
      <c r="K337" s="580" t="str">
        <f t="shared" si="33"/>
        <v/>
      </c>
      <c r="L337" s="591" t="str">
        <f>IF(OR(L336=0,L336=""),"",IF(AND(H337="",C337=""),"",IF(COUNT(H337:H342)&gt;0,L336-IF(I337="",0,I337),"")))</f>
        <v/>
      </c>
    </row>
    <row r="338" spans="2:12">
      <c r="B338" s="540">
        <v>320</v>
      </c>
      <c r="C338" s="551" t="str">
        <f t="shared" si="32"/>
        <v/>
      </c>
      <c r="D338" s="565" t="str">
        <f t="shared" si="34"/>
        <v/>
      </c>
      <c r="E338" s="574" t="str">
        <f t="shared" si="35"/>
        <v/>
      </c>
      <c r="F338" s="580" t="str">
        <f t="shared" si="36"/>
        <v/>
      </c>
      <c r="G338" s="580" t="str">
        <f t="shared" si="37"/>
        <v/>
      </c>
      <c r="H338" s="551" t="str">
        <f>IF(C338="","",IF(OR($D$9=4,$D$9=10),IF(AND(D$7&gt;0,ROUNDDOWN($D$14/6,0)&gt;=54),54,""),""))</f>
        <v/>
      </c>
      <c r="I338" s="565" t="str">
        <f t="shared" si="38"/>
        <v/>
      </c>
      <c r="J338" s="574" t="str">
        <f t="shared" si="39"/>
        <v/>
      </c>
      <c r="K338" s="580" t="str">
        <f t="shared" si="33"/>
        <v/>
      </c>
      <c r="L338" s="591" t="str">
        <f>IF(OR(L337=0,L337=""),"",IF(AND(H338="",C338=""),"",IF(COUNT(H337:H342)&gt;0,L337-IF(I338="",0,I338),"")))</f>
        <v/>
      </c>
    </row>
    <row r="339" spans="2:12">
      <c r="B339" s="540">
        <v>321</v>
      </c>
      <c r="C339" s="551" t="str">
        <f t="shared" ref="C339:C378" si="40">IF($D$14&gt;=B339,B339,"")</f>
        <v/>
      </c>
      <c r="D339" s="565" t="str">
        <f t="shared" si="34"/>
        <v/>
      </c>
      <c r="E339" s="574" t="str">
        <f t="shared" si="35"/>
        <v/>
      </c>
      <c r="F339" s="580" t="str">
        <f t="shared" si="36"/>
        <v/>
      </c>
      <c r="G339" s="580" t="str">
        <f t="shared" si="37"/>
        <v/>
      </c>
      <c r="H339" s="551" t="str">
        <f>IF(C339="","",IF(OR($D$9=3,$D$9=9),IF(AND(D$7&gt;0,ROUNDDOWN($D$14/6,0)&gt;=54),54,""),""))</f>
        <v/>
      </c>
      <c r="I339" s="565" t="str">
        <f t="shared" si="38"/>
        <v/>
      </c>
      <c r="J339" s="574" t="str">
        <f t="shared" si="39"/>
        <v/>
      </c>
      <c r="K339" s="580" t="str">
        <f t="shared" ref="K339:K372" si="41">IF(H339="","",IF(H345="",I339+J339,$I$14))</f>
        <v/>
      </c>
      <c r="L339" s="591" t="str">
        <f>IF(OR(L338=0,L338=""),"",IF(AND(H339="",C339=""),"",IF(COUNT(H337:H342)&gt;0,L338-IF(I339="",0,I339),"")))</f>
        <v/>
      </c>
    </row>
    <row r="340" spans="2:12">
      <c r="B340" s="540">
        <v>322</v>
      </c>
      <c r="C340" s="551" t="str">
        <f t="shared" si="40"/>
        <v/>
      </c>
      <c r="D340" s="565" t="str">
        <f t="shared" ref="D340:D378" si="42">IF(C340="","",IF(C340=$D$14,G339,F340-E340))</f>
        <v/>
      </c>
      <c r="E340" s="574" t="str">
        <f t="shared" ref="E340:E378" si="43">IF(C340="","",ROUNDDOWN(G339*$D$13,0))</f>
        <v/>
      </c>
      <c r="F340" s="580" t="str">
        <f t="shared" ref="F340:F378" si="44">IF(C340="","",IF(C340=$D$14,G339+E340,ROUNDDOWN(PMT($D$13,$D$14,-$D$8),0)))</f>
        <v/>
      </c>
      <c r="G340" s="580" t="str">
        <f t="shared" ref="G340:G378" si="45">IF(C340="","",G339-D340)</f>
        <v/>
      </c>
      <c r="H340" s="551" t="str">
        <f>IF(C340="","",IF(OR($D$9=2,$D$9=8),IF(AND(D$7&gt;0,ROUNDDOWN($D$14/6,0)&gt;=54),54,""),""))</f>
        <v/>
      </c>
      <c r="I340" s="565" t="str">
        <f t="shared" ref="I340:I372" si="46">IF(H340="","",IF(H346="",L339,K340-J340))</f>
        <v/>
      </c>
      <c r="J340" s="574" t="str">
        <f t="shared" si="39"/>
        <v/>
      </c>
      <c r="K340" s="580" t="str">
        <f t="shared" si="41"/>
        <v/>
      </c>
      <c r="L340" s="591" t="str">
        <f>IF(OR(L339=0,L339=""),"",IF(AND(H340="",C340=""),"",IF(COUNT(H337:H342)&gt;0,L339-IF(I340="",0,I340),"")))</f>
        <v/>
      </c>
    </row>
    <row r="341" spans="2:12">
      <c r="B341" s="540">
        <v>323</v>
      </c>
      <c r="C341" s="551" t="str">
        <f t="shared" si="40"/>
        <v/>
      </c>
      <c r="D341" s="565" t="str">
        <f t="shared" si="42"/>
        <v/>
      </c>
      <c r="E341" s="574" t="str">
        <f t="shared" si="43"/>
        <v/>
      </c>
      <c r="F341" s="580" t="str">
        <f t="shared" si="44"/>
        <v/>
      </c>
      <c r="G341" s="580" t="str">
        <f t="shared" si="45"/>
        <v/>
      </c>
      <c r="H341" s="551" t="str">
        <f>IF(C341="","",IF(OR($D$9=1,$D$9=7),IF(AND(D$7&gt;0,ROUNDDOWN($D$14/6,0)&gt;=54),54,""),""))</f>
        <v/>
      </c>
      <c r="I341" s="565" t="str">
        <f t="shared" si="46"/>
        <v/>
      </c>
      <c r="J341" s="574" t="str">
        <f t="shared" si="39"/>
        <v/>
      </c>
      <c r="K341" s="580" t="str">
        <f t="shared" si="41"/>
        <v/>
      </c>
      <c r="L341" s="591" t="str">
        <f>IF(OR(L340=0,L340=""),"",IF(AND(H341="",C341=""),"",IF(COUNT(H337:H342)&gt;0,L340-IF(I341="",0,I341),"")))</f>
        <v/>
      </c>
    </row>
    <row r="342" spans="2:12">
      <c r="B342" s="540">
        <v>324</v>
      </c>
      <c r="C342" s="551" t="str">
        <f t="shared" si="40"/>
        <v/>
      </c>
      <c r="D342" s="565" t="str">
        <f t="shared" si="42"/>
        <v/>
      </c>
      <c r="E342" s="574" t="str">
        <f t="shared" si="43"/>
        <v/>
      </c>
      <c r="F342" s="580" t="str">
        <f t="shared" si="44"/>
        <v/>
      </c>
      <c r="G342" s="580" t="str">
        <f t="shared" si="45"/>
        <v/>
      </c>
      <c r="H342" s="551" t="str">
        <f>IF(C342="","",IF(OR($D$9=12,$D$9=6),IF(AND(D$7&gt;0,ROUNDDOWN($D$14/6,0)&gt;=54),54,""),""))</f>
        <v/>
      </c>
      <c r="I342" s="565" t="str">
        <f t="shared" si="46"/>
        <v/>
      </c>
      <c r="J342" s="574" t="str">
        <f t="shared" si="39"/>
        <v/>
      </c>
      <c r="K342" s="580" t="str">
        <f t="shared" si="41"/>
        <v/>
      </c>
      <c r="L342" s="591" t="str">
        <f>IF(OR(L341=0,L341=""),"",IF(AND(H342="",C342=""),"",IF(COUNT(H337:H342)&gt;0,L341-IF(I342="",0,I342),"")))</f>
        <v/>
      </c>
    </row>
    <row r="343" spans="2:12">
      <c r="B343" s="540">
        <v>325</v>
      </c>
      <c r="C343" s="553" t="str">
        <f t="shared" si="40"/>
        <v/>
      </c>
      <c r="D343" s="567" t="str">
        <f t="shared" si="42"/>
        <v/>
      </c>
      <c r="E343" s="576" t="str">
        <f t="shared" si="43"/>
        <v/>
      </c>
      <c r="F343" s="582" t="str">
        <f t="shared" si="44"/>
        <v/>
      </c>
      <c r="G343" s="582" t="str">
        <f t="shared" si="45"/>
        <v/>
      </c>
      <c r="H343" s="553" t="str">
        <f>IF(C343="","",IF(OR($D$9=5,$D$9=11),IF(AND(D$7&gt;0,ROUNDDOWN($D$14/6,0)&gt;=55),55,""),""))</f>
        <v/>
      </c>
      <c r="I343" s="567" t="str">
        <f t="shared" si="46"/>
        <v/>
      </c>
      <c r="J343" s="576" t="str">
        <f t="shared" si="39"/>
        <v/>
      </c>
      <c r="K343" s="582" t="str">
        <f t="shared" si="41"/>
        <v/>
      </c>
      <c r="L343" s="593" t="str">
        <f>IF(OR(L342=0,L342=""),"",IF(AND(H343="",C343=""),"",IF(COUNT(H343:H348)&gt;0,L342-IF(I343="",0,I343),"")))</f>
        <v/>
      </c>
    </row>
    <row r="344" spans="2:12">
      <c r="B344" s="540">
        <v>326</v>
      </c>
      <c r="C344" s="551" t="str">
        <f t="shared" si="40"/>
        <v/>
      </c>
      <c r="D344" s="565" t="str">
        <f t="shared" si="42"/>
        <v/>
      </c>
      <c r="E344" s="574" t="str">
        <f t="shared" si="43"/>
        <v/>
      </c>
      <c r="F344" s="580" t="str">
        <f t="shared" si="44"/>
        <v/>
      </c>
      <c r="G344" s="580" t="str">
        <f t="shared" si="45"/>
        <v/>
      </c>
      <c r="H344" s="551" t="str">
        <f>IF(C344="","",IF(OR($D$9=4,$D$9=10),IF(AND(D$7&gt;0,ROUNDDOWN($D$14/6,0)&gt;=55),55,""),""))</f>
        <v/>
      </c>
      <c r="I344" s="565" t="str">
        <f t="shared" si="46"/>
        <v/>
      </c>
      <c r="J344" s="574" t="str">
        <f t="shared" si="39"/>
        <v/>
      </c>
      <c r="K344" s="580" t="str">
        <f t="shared" si="41"/>
        <v/>
      </c>
      <c r="L344" s="591" t="str">
        <f>IF(OR(L343=0,L343=""),"",IF(AND(H344="",C344=""),"",IF(COUNT(H343:H348)&gt;0,L343-IF(I344="",0,I344),"")))</f>
        <v/>
      </c>
    </row>
    <row r="345" spans="2:12">
      <c r="B345" s="540">
        <v>327</v>
      </c>
      <c r="C345" s="551" t="str">
        <f t="shared" si="40"/>
        <v/>
      </c>
      <c r="D345" s="565" t="str">
        <f t="shared" si="42"/>
        <v/>
      </c>
      <c r="E345" s="574" t="str">
        <f t="shared" si="43"/>
        <v/>
      </c>
      <c r="F345" s="580" t="str">
        <f t="shared" si="44"/>
        <v/>
      </c>
      <c r="G345" s="580" t="str">
        <f t="shared" si="45"/>
        <v/>
      </c>
      <c r="H345" s="551" t="str">
        <f>IF(C345="","",IF(OR($D$9=3,$D$9=9),IF(AND(D$7&gt;0,ROUNDDOWN($D$14/6,0)&gt;=55),55,""),""))</f>
        <v/>
      </c>
      <c r="I345" s="565" t="str">
        <f t="shared" si="46"/>
        <v/>
      </c>
      <c r="J345" s="574" t="str">
        <f t="shared" ref="J345:J378" si="47">IF(H345="","",ROUNDDOWN(L344*$D$12,0))</f>
        <v/>
      </c>
      <c r="K345" s="580" t="str">
        <f t="shared" si="41"/>
        <v/>
      </c>
      <c r="L345" s="591" t="str">
        <f>IF(OR(L344=0,L344=""),"",IF(AND(H345="",C345=""),"",IF(COUNT(H343:H348)&gt;0,L344-IF(I345="",0,I345),"")))</f>
        <v/>
      </c>
    </row>
    <row r="346" spans="2:12">
      <c r="B346" s="540">
        <v>328</v>
      </c>
      <c r="C346" s="551" t="str">
        <f t="shared" si="40"/>
        <v/>
      </c>
      <c r="D346" s="565" t="str">
        <f t="shared" si="42"/>
        <v/>
      </c>
      <c r="E346" s="574" t="str">
        <f t="shared" si="43"/>
        <v/>
      </c>
      <c r="F346" s="580" t="str">
        <f t="shared" si="44"/>
        <v/>
      </c>
      <c r="G346" s="580" t="str">
        <f t="shared" si="45"/>
        <v/>
      </c>
      <c r="H346" s="551" t="str">
        <f>IF(C346="","",IF(OR($D$9=2,$D$9=8),IF(AND(D$7&gt;0,ROUNDDOWN($D$14/6,0)&gt;=55),55,""),""))</f>
        <v/>
      </c>
      <c r="I346" s="565" t="str">
        <f t="shared" si="46"/>
        <v/>
      </c>
      <c r="J346" s="574" t="str">
        <f t="shared" si="47"/>
        <v/>
      </c>
      <c r="K346" s="580" t="str">
        <f t="shared" si="41"/>
        <v/>
      </c>
      <c r="L346" s="591" t="str">
        <f>IF(OR(L345=0,L345=""),"",IF(AND(H346="",C346=""),"",IF(COUNT(H343:H348)&gt;0,L345-IF(I346="",0,I346),"")))</f>
        <v/>
      </c>
    </row>
    <row r="347" spans="2:12">
      <c r="B347" s="540">
        <v>329</v>
      </c>
      <c r="C347" s="551" t="str">
        <f t="shared" si="40"/>
        <v/>
      </c>
      <c r="D347" s="565" t="str">
        <f t="shared" si="42"/>
        <v/>
      </c>
      <c r="E347" s="574" t="str">
        <f t="shared" si="43"/>
        <v/>
      </c>
      <c r="F347" s="580" t="str">
        <f t="shared" si="44"/>
        <v/>
      </c>
      <c r="G347" s="580" t="str">
        <f t="shared" si="45"/>
        <v/>
      </c>
      <c r="H347" s="551" t="str">
        <f>IF(C347="","",IF(OR($D$9=1,$D$9=7),IF(AND(D$7&gt;0,ROUNDDOWN($D$14/6,0)&gt;=55),55,""),""))</f>
        <v/>
      </c>
      <c r="I347" s="565" t="str">
        <f t="shared" si="46"/>
        <v/>
      </c>
      <c r="J347" s="574" t="str">
        <f t="shared" si="47"/>
        <v/>
      </c>
      <c r="K347" s="580" t="str">
        <f t="shared" si="41"/>
        <v/>
      </c>
      <c r="L347" s="591" t="str">
        <f>IF(OR(L346=0,L346=""),"",IF(AND(H347="",C347=""),"",IF(COUNT(H343:H348)&gt;0,L346-IF(I347="",0,I347),"")))</f>
        <v/>
      </c>
    </row>
    <row r="348" spans="2:12">
      <c r="B348" s="540">
        <v>330</v>
      </c>
      <c r="C348" s="552" t="str">
        <f t="shared" si="40"/>
        <v/>
      </c>
      <c r="D348" s="566" t="str">
        <f t="shared" si="42"/>
        <v/>
      </c>
      <c r="E348" s="575" t="str">
        <f t="shared" si="43"/>
        <v/>
      </c>
      <c r="F348" s="581" t="str">
        <f t="shared" si="44"/>
        <v/>
      </c>
      <c r="G348" s="581" t="str">
        <f t="shared" si="45"/>
        <v/>
      </c>
      <c r="H348" s="551" t="str">
        <f>IF(C348="","",IF(OR($D$9=12,$D$9=6),IF(AND(D$7&gt;0,ROUNDDOWN($D$14/6,0)&gt;=55),55,""),""))</f>
        <v/>
      </c>
      <c r="I348" s="566" t="str">
        <f t="shared" si="46"/>
        <v/>
      </c>
      <c r="J348" s="575" t="str">
        <f t="shared" si="47"/>
        <v/>
      </c>
      <c r="K348" s="581" t="str">
        <f t="shared" si="41"/>
        <v/>
      </c>
      <c r="L348" s="592" t="str">
        <f>IF(OR(L347=0,L347=""),"",IF(AND(H348="",C348=""),"",IF(COUNT(H343:H348)&gt;0,L347-IF(I348="",0,I348),"")))</f>
        <v/>
      </c>
    </row>
    <row r="349" spans="2:12">
      <c r="B349" s="540">
        <v>331</v>
      </c>
      <c r="C349" s="551" t="str">
        <f t="shared" si="40"/>
        <v/>
      </c>
      <c r="D349" s="565" t="str">
        <f t="shared" si="42"/>
        <v/>
      </c>
      <c r="E349" s="574" t="str">
        <f t="shared" si="43"/>
        <v/>
      </c>
      <c r="F349" s="580" t="str">
        <f t="shared" si="44"/>
        <v/>
      </c>
      <c r="G349" s="580" t="str">
        <f t="shared" si="45"/>
        <v/>
      </c>
      <c r="H349" s="553" t="str">
        <f>IF(C349="","",IF(OR($D$9=5,$D$9=11),IF(AND(D$7&gt;0,ROUNDDOWN($D$14/6,0)&gt;=56),56,""),""))</f>
        <v/>
      </c>
      <c r="I349" s="565" t="str">
        <f t="shared" si="46"/>
        <v/>
      </c>
      <c r="J349" s="574" t="str">
        <f t="shared" si="47"/>
        <v/>
      </c>
      <c r="K349" s="580" t="str">
        <f t="shared" si="41"/>
        <v/>
      </c>
      <c r="L349" s="591" t="str">
        <f>IF(OR(L348=0,L348=""),"",IF(AND(H349="",C349=""),"",IF(COUNT(H349:H354)&gt;0,L348-IF(I349="",0,I349),"")))</f>
        <v/>
      </c>
    </row>
    <row r="350" spans="2:12">
      <c r="B350" s="540">
        <v>332</v>
      </c>
      <c r="C350" s="551" t="str">
        <f t="shared" si="40"/>
        <v/>
      </c>
      <c r="D350" s="565" t="str">
        <f t="shared" si="42"/>
        <v/>
      </c>
      <c r="E350" s="574" t="str">
        <f t="shared" si="43"/>
        <v/>
      </c>
      <c r="F350" s="580" t="str">
        <f t="shared" si="44"/>
        <v/>
      </c>
      <c r="G350" s="580" t="str">
        <f t="shared" si="45"/>
        <v/>
      </c>
      <c r="H350" s="551" t="str">
        <f>IF(C350="","",IF(OR($D$9=4,$D$9=10),IF(AND(D$7&gt;0,ROUNDDOWN($D$14/6,0)&gt;=56),56,""),""))</f>
        <v/>
      </c>
      <c r="I350" s="565" t="str">
        <f t="shared" si="46"/>
        <v/>
      </c>
      <c r="J350" s="574" t="str">
        <f t="shared" si="47"/>
        <v/>
      </c>
      <c r="K350" s="580" t="str">
        <f t="shared" si="41"/>
        <v/>
      </c>
      <c r="L350" s="591" t="str">
        <f>IF(OR(L349=0,L349=""),"",IF(AND(H350="",C350=""),"",IF(COUNT(H349:H354)&gt;0,L349-IF(I350="",0,I350),"")))</f>
        <v/>
      </c>
    </row>
    <row r="351" spans="2:12">
      <c r="B351" s="540">
        <v>333</v>
      </c>
      <c r="C351" s="551" t="str">
        <f t="shared" si="40"/>
        <v/>
      </c>
      <c r="D351" s="565" t="str">
        <f t="shared" si="42"/>
        <v/>
      </c>
      <c r="E351" s="574" t="str">
        <f t="shared" si="43"/>
        <v/>
      </c>
      <c r="F351" s="580" t="str">
        <f t="shared" si="44"/>
        <v/>
      </c>
      <c r="G351" s="580" t="str">
        <f t="shared" si="45"/>
        <v/>
      </c>
      <c r="H351" s="551" t="str">
        <f>IF(C351="","",IF(OR($D$9=3,$D$9=9),IF(AND(D$7&gt;0,ROUNDDOWN($D$14/6,0)&gt;=56),56,""),""))</f>
        <v/>
      </c>
      <c r="I351" s="565" t="str">
        <f t="shared" si="46"/>
        <v/>
      </c>
      <c r="J351" s="574" t="str">
        <f t="shared" si="47"/>
        <v/>
      </c>
      <c r="K351" s="580" t="str">
        <f t="shared" si="41"/>
        <v/>
      </c>
      <c r="L351" s="591" t="str">
        <f>IF(OR(L350=0,L350=""),"",IF(AND(H351="",C351=""),"",IF(COUNT(H349:H354)&gt;0,L350-IF(I351="",0,I351),"")))</f>
        <v/>
      </c>
    </row>
    <row r="352" spans="2:12">
      <c r="B352" s="540">
        <v>334</v>
      </c>
      <c r="C352" s="551" t="str">
        <f t="shared" si="40"/>
        <v/>
      </c>
      <c r="D352" s="565" t="str">
        <f t="shared" si="42"/>
        <v/>
      </c>
      <c r="E352" s="574" t="str">
        <f t="shared" si="43"/>
        <v/>
      </c>
      <c r="F352" s="580" t="str">
        <f t="shared" si="44"/>
        <v/>
      </c>
      <c r="G352" s="580" t="str">
        <f t="shared" si="45"/>
        <v/>
      </c>
      <c r="H352" s="551" t="str">
        <f>IF(C352="","",IF(OR($D$9=2,$D$9=8),IF(AND(D$7&gt;0,ROUNDDOWN($D$14/6,0)&gt;=56),56,""),""))</f>
        <v/>
      </c>
      <c r="I352" s="565" t="str">
        <f t="shared" si="46"/>
        <v/>
      </c>
      <c r="J352" s="574" t="str">
        <f t="shared" si="47"/>
        <v/>
      </c>
      <c r="K352" s="580" t="str">
        <f t="shared" si="41"/>
        <v/>
      </c>
      <c r="L352" s="591" t="str">
        <f>IF(OR(L351=0,L351=""),"",IF(AND(H352="",C352=""),"",IF(COUNT(H349:H354)&gt;0,L351-IF(I352="",0,I352),"")))</f>
        <v/>
      </c>
    </row>
    <row r="353" spans="2:12">
      <c r="B353" s="540">
        <v>335</v>
      </c>
      <c r="C353" s="551" t="str">
        <f t="shared" si="40"/>
        <v/>
      </c>
      <c r="D353" s="565" t="str">
        <f t="shared" si="42"/>
        <v/>
      </c>
      <c r="E353" s="574" t="str">
        <f t="shared" si="43"/>
        <v/>
      </c>
      <c r="F353" s="580" t="str">
        <f t="shared" si="44"/>
        <v/>
      </c>
      <c r="G353" s="580" t="str">
        <f t="shared" si="45"/>
        <v/>
      </c>
      <c r="H353" s="551" t="str">
        <f>IF(C353="","",IF(OR($D$9=1,$D$9=7),IF(AND(D$7&gt;0,ROUNDDOWN($D$14/6,0)&gt;=56),56,""),""))</f>
        <v/>
      </c>
      <c r="I353" s="565" t="str">
        <f t="shared" si="46"/>
        <v/>
      </c>
      <c r="J353" s="574" t="str">
        <f t="shared" si="47"/>
        <v/>
      </c>
      <c r="K353" s="580" t="str">
        <f t="shared" si="41"/>
        <v/>
      </c>
      <c r="L353" s="591" t="str">
        <f>IF(OR(L352=0,L352=""),"",IF(AND(H353="",C353=""),"",IF(COUNT(H349:H354)&gt;0,L352-IF(I353="",0,I353),"")))</f>
        <v/>
      </c>
    </row>
    <row r="354" spans="2:12">
      <c r="B354" s="540">
        <v>336</v>
      </c>
      <c r="C354" s="551" t="str">
        <f t="shared" si="40"/>
        <v/>
      </c>
      <c r="D354" s="565" t="str">
        <f t="shared" si="42"/>
        <v/>
      </c>
      <c r="E354" s="574" t="str">
        <f t="shared" si="43"/>
        <v/>
      </c>
      <c r="F354" s="580" t="str">
        <f t="shared" si="44"/>
        <v/>
      </c>
      <c r="G354" s="580" t="str">
        <f t="shared" si="45"/>
        <v/>
      </c>
      <c r="H354" s="552" t="str">
        <f>IF(C354="","",IF(OR($D$9=12,$D$9=6),IF(AND(D$7&gt;0,ROUNDDOWN($D$14/6,0)&gt;=56),56,""),""))</f>
        <v/>
      </c>
      <c r="I354" s="565" t="str">
        <f t="shared" si="46"/>
        <v/>
      </c>
      <c r="J354" s="574" t="str">
        <f t="shared" si="47"/>
        <v/>
      </c>
      <c r="K354" s="580" t="str">
        <f t="shared" si="41"/>
        <v/>
      </c>
      <c r="L354" s="591" t="str">
        <f>IF(OR(L353=0,L353=""),"",IF(AND(H354="",C354=""),"",IF(COUNT(H349:H354)&gt;0,L353-IF(I354="",0,I354),"")))</f>
        <v/>
      </c>
    </row>
    <row r="355" spans="2:12">
      <c r="B355" s="540">
        <v>337</v>
      </c>
      <c r="C355" s="553" t="str">
        <f t="shared" si="40"/>
        <v/>
      </c>
      <c r="D355" s="567" t="str">
        <f t="shared" si="42"/>
        <v/>
      </c>
      <c r="E355" s="576" t="str">
        <f t="shared" si="43"/>
        <v/>
      </c>
      <c r="F355" s="582" t="str">
        <f t="shared" si="44"/>
        <v/>
      </c>
      <c r="G355" s="582" t="str">
        <f t="shared" si="45"/>
        <v/>
      </c>
      <c r="H355" s="551" t="str">
        <f>IF(C355="","",IF(OR($D$9=5,$D$9=11),IF(AND(D$7&gt;0,ROUNDDOWN($D$14/6,0)&gt;=57),57,""),""))</f>
        <v/>
      </c>
      <c r="I355" s="567" t="str">
        <f t="shared" si="46"/>
        <v/>
      </c>
      <c r="J355" s="576" t="str">
        <f t="shared" si="47"/>
        <v/>
      </c>
      <c r="K355" s="582" t="str">
        <f t="shared" si="41"/>
        <v/>
      </c>
      <c r="L355" s="593" t="str">
        <f>IF(OR(L354=0,L354=""),"",IF(AND(H355="",C355=""),"",IF(COUNT(H355:H360)&gt;0,L354-IF(I355="",0,I355),"")))</f>
        <v/>
      </c>
    </row>
    <row r="356" spans="2:12">
      <c r="B356" s="540">
        <v>338</v>
      </c>
      <c r="C356" s="551" t="str">
        <f t="shared" si="40"/>
        <v/>
      </c>
      <c r="D356" s="565" t="str">
        <f t="shared" si="42"/>
        <v/>
      </c>
      <c r="E356" s="574" t="str">
        <f t="shared" si="43"/>
        <v/>
      </c>
      <c r="F356" s="580" t="str">
        <f t="shared" si="44"/>
        <v/>
      </c>
      <c r="G356" s="580" t="str">
        <f t="shared" si="45"/>
        <v/>
      </c>
      <c r="H356" s="551" t="str">
        <f>IF(C356="","",IF(OR($D$9=4,$D$9=10),IF(AND(D$7&gt;0,ROUNDDOWN($D$14/6,0)&gt;=57),57,""),""))</f>
        <v/>
      </c>
      <c r="I356" s="565" t="str">
        <f t="shared" si="46"/>
        <v/>
      </c>
      <c r="J356" s="574" t="str">
        <f t="shared" si="47"/>
        <v/>
      </c>
      <c r="K356" s="580" t="str">
        <f t="shared" si="41"/>
        <v/>
      </c>
      <c r="L356" s="591" t="str">
        <f>IF(OR(L355=0,L355=""),"",IF(AND(H356="",C356=""),"",IF(COUNT(H355:H360)&gt;0,L355-IF(I356="",0,I356),"")))</f>
        <v/>
      </c>
    </row>
    <row r="357" spans="2:12">
      <c r="B357" s="540">
        <v>339</v>
      </c>
      <c r="C357" s="551" t="str">
        <f t="shared" si="40"/>
        <v/>
      </c>
      <c r="D357" s="565" t="str">
        <f t="shared" si="42"/>
        <v/>
      </c>
      <c r="E357" s="574" t="str">
        <f t="shared" si="43"/>
        <v/>
      </c>
      <c r="F357" s="580" t="str">
        <f t="shared" si="44"/>
        <v/>
      </c>
      <c r="G357" s="580" t="str">
        <f t="shared" si="45"/>
        <v/>
      </c>
      <c r="H357" s="551" t="str">
        <f>IF(C357="","",IF(OR($D$9=3,$D$9=9),IF(AND(D$7&gt;0,ROUNDDOWN($D$14/6,0)&gt;=57),57,""),""))</f>
        <v/>
      </c>
      <c r="I357" s="565" t="str">
        <f t="shared" si="46"/>
        <v/>
      </c>
      <c r="J357" s="574" t="str">
        <f t="shared" si="47"/>
        <v/>
      </c>
      <c r="K357" s="580" t="str">
        <f t="shared" si="41"/>
        <v/>
      </c>
      <c r="L357" s="591" t="str">
        <f>IF(OR(L356=0,L356=""),"",IF(AND(H357="",C357=""),"",IF(COUNT(H355:H360)&gt;0,L356-IF(I357="",0,I357),"")))</f>
        <v/>
      </c>
    </row>
    <row r="358" spans="2:12">
      <c r="B358" s="540">
        <v>340</v>
      </c>
      <c r="C358" s="551" t="str">
        <f t="shared" si="40"/>
        <v/>
      </c>
      <c r="D358" s="565" t="str">
        <f t="shared" si="42"/>
        <v/>
      </c>
      <c r="E358" s="574" t="str">
        <f t="shared" si="43"/>
        <v/>
      </c>
      <c r="F358" s="580" t="str">
        <f t="shared" si="44"/>
        <v/>
      </c>
      <c r="G358" s="580" t="str">
        <f t="shared" si="45"/>
        <v/>
      </c>
      <c r="H358" s="551" t="str">
        <f>IF(C358="","",IF(OR($D$9=2,$D$9=8),IF(AND(D$7&gt;0,ROUNDDOWN($D$14/6,0)&gt;=57),57,""),""))</f>
        <v/>
      </c>
      <c r="I358" s="565" t="str">
        <f t="shared" si="46"/>
        <v/>
      </c>
      <c r="J358" s="574" t="str">
        <f t="shared" si="47"/>
        <v/>
      </c>
      <c r="K358" s="580" t="str">
        <f t="shared" si="41"/>
        <v/>
      </c>
      <c r="L358" s="591" t="str">
        <f>IF(OR(L357=0,L357=""),"",IF(AND(H358="",C358=""),"",IF(COUNT(H355:H360)&gt;0,L357-IF(I358="",0,I358),"")))</f>
        <v/>
      </c>
    </row>
    <row r="359" spans="2:12">
      <c r="B359" s="540">
        <v>341</v>
      </c>
      <c r="C359" s="551" t="str">
        <f t="shared" si="40"/>
        <v/>
      </c>
      <c r="D359" s="565" t="str">
        <f t="shared" si="42"/>
        <v/>
      </c>
      <c r="E359" s="574" t="str">
        <f t="shared" si="43"/>
        <v/>
      </c>
      <c r="F359" s="580" t="str">
        <f t="shared" si="44"/>
        <v/>
      </c>
      <c r="G359" s="580" t="str">
        <f t="shared" si="45"/>
        <v/>
      </c>
      <c r="H359" s="551" t="str">
        <f>IF(C359="","",IF(OR($D$9=1,$D$9=7),IF(AND(D$7&gt;0,ROUNDDOWN($D$14/6,0)&gt;=57),57,""),""))</f>
        <v/>
      </c>
      <c r="I359" s="565" t="str">
        <f t="shared" si="46"/>
        <v/>
      </c>
      <c r="J359" s="574" t="str">
        <f t="shared" si="47"/>
        <v/>
      </c>
      <c r="K359" s="580" t="str">
        <f t="shared" si="41"/>
        <v/>
      </c>
      <c r="L359" s="591" t="str">
        <f>IF(OR(L358=0,L358=""),"",IF(AND(H359="",C359=""),"",IF(COUNT(H355:H360)&gt;0,L358-IF(I359="",0,I359),"")))</f>
        <v/>
      </c>
    </row>
    <row r="360" spans="2:12">
      <c r="B360" s="540">
        <v>342</v>
      </c>
      <c r="C360" s="552" t="str">
        <f t="shared" si="40"/>
        <v/>
      </c>
      <c r="D360" s="566" t="str">
        <f t="shared" si="42"/>
        <v/>
      </c>
      <c r="E360" s="575" t="str">
        <f t="shared" si="43"/>
        <v/>
      </c>
      <c r="F360" s="581" t="str">
        <f t="shared" si="44"/>
        <v/>
      </c>
      <c r="G360" s="581" t="str">
        <f t="shared" si="45"/>
        <v/>
      </c>
      <c r="H360" s="551" t="str">
        <f>IF(C360="","",IF(OR($D$9=12,$D$9=6),IF(AND(D$7&gt;0,ROUNDDOWN($D$14/6,0)&gt;=57),57,""),""))</f>
        <v/>
      </c>
      <c r="I360" s="566" t="str">
        <f t="shared" si="46"/>
        <v/>
      </c>
      <c r="J360" s="575" t="str">
        <f t="shared" si="47"/>
        <v/>
      </c>
      <c r="K360" s="581" t="str">
        <f t="shared" si="41"/>
        <v/>
      </c>
      <c r="L360" s="592" t="str">
        <f>IF(OR(L359=0,L359=""),"",IF(AND(H360="",C360=""),"",IF(COUNT(H355:H360)&gt;0,L359-IF(I360="",0,I360),"")))</f>
        <v/>
      </c>
    </row>
    <row r="361" spans="2:12">
      <c r="B361" s="540">
        <v>343</v>
      </c>
      <c r="C361" s="551" t="str">
        <f t="shared" si="40"/>
        <v/>
      </c>
      <c r="D361" s="565" t="str">
        <f t="shared" si="42"/>
        <v/>
      </c>
      <c r="E361" s="574" t="str">
        <f t="shared" si="43"/>
        <v/>
      </c>
      <c r="F361" s="580" t="str">
        <f t="shared" si="44"/>
        <v/>
      </c>
      <c r="G361" s="580" t="str">
        <f t="shared" si="45"/>
        <v/>
      </c>
      <c r="H361" s="553" t="str">
        <f>IF(C361="","",IF(OR($D$9=5,$D$9=11),IF(AND(D$7&gt;0,ROUNDDOWN($D$14/6,0)&gt;=58),58,""),""))</f>
        <v/>
      </c>
      <c r="I361" s="565" t="str">
        <f t="shared" si="46"/>
        <v/>
      </c>
      <c r="J361" s="574" t="str">
        <f t="shared" si="47"/>
        <v/>
      </c>
      <c r="K361" s="580" t="str">
        <f t="shared" si="41"/>
        <v/>
      </c>
      <c r="L361" s="591" t="str">
        <f>IF(OR(L360=0,L360=""),"",IF(AND(H361="",C361=""),"",IF(COUNT(H361:H366)&gt;0,L360-IF(I361="",0,I361),"")))</f>
        <v/>
      </c>
    </row>
    <row r="362" spans="2:12">
      <c r="B362" s="540">
        <v>344</v>
      </c>
      <c r="C362" s="551" t="str">
        <f t="shared" si="40"/>
        <v/>
      </c>
      <c r="D362" s="565" t="str">
        <f t="shared" si="42"/>
        <v/>
      </c>
      <c r="E362" s="574" t="str">
        <f t="shared" si="43"/>
        <v/>
      </c>
      <c r="F362" s="580" t="str">
        <f t="shared" si="44"/>
        <v/>
      </c>
      <c r="G362" s="580" t="str">
        <f t="shared" si="45"/>
        <v/>
      </c>
      <c r="H362" s="551" t="str">
        <f>IF(C362="","",IF(OR($D$9=4,$D$9=10),IF(AND(D$7&gt;0,ROUNDDOWN($D$14/6,0)&gt;=58),58,""),""))</f>
        <v/>
      </c>
      <c r="I362" s="565" t="str">
        <f t="shared" si="46"/>
        <v/>
      </c>
      <c r="J362" s="574" t="str">
        <f t="shared" si="47"/>
        <v/>
      </c>
      <c r="K362" s="580" t="str">
        <f t="shared" si="41"/>
        <v/>
      </c>
      <c r="L362" s="591" t="str">
        <f>IF(OR(L361=0,L361=""),"",IF(AND(H362="",C362=""),"",IF(COUNT(H361:H366)&gt;0,L361-IF(I362="",0,I362),"")))</f>
        <v/>
      </c>
    </row>
    <row r="363" spans="2:12">
      <c r="B363" s="540">
        <v>345</v>
      </c>
      <c r="C363" s="551" t="str">
        <f t="shared" si="40"/>
        <v/>
      </c>
      <c r="D363" s="565" t="str">
        <f t="shared" si="42"/>
        <v/>
      </c>
      <c r="E363" s="574" t="str">
        <f t="shared" si="43"/>
        <v/>
      </c>
      <c r="F363" s="580" t="str">
        <f t="shared" si="44"/>
        <v/>
      </c>
      <c r="G363" s="580" t="str">
        <f t="shared" si="45"/>
        <v/>
      </c>
      <c r="H363" s="551" t="str">
        <f>IF(C363="","",IF(OR($D$9=3,$D$9=9),IF(AND(D$7&gt;0,ROUNDDOWN($D$14/6,0)&gt;=58),58,""),""))</f>
        <v/>
      </c>
      <c r="I363" s="565" t="str">
        <f t="shared" si="46"/>
        <v/>
      </c>
      <c r="J363" s="574" t="str">
        <f t="shared" si="47"/>
        <v/>
      </c>
      <c r="K363" s="580" t="str">
        <f t="shared" si="41"/>
        <v/>
      </c>
      <c r="L363" s="591" t="str">
        <f>IF(OR(L362=0,L362=""),"",IF(AND(H363="",C363=""),"",IF(COUNT(H361:H366)&gt;0,L362-IF(I363="",0,I363),"")))</f>
        <v/>
      </c>
    </row>
    <row r="364" spans="2:12">
      <c r="B364" s="540">
        <v>346</v>
      </c>
      <c r="C364" s="551" t="str">
        <f t="shared" si="40"/>
        <v/>
      </c>
      <c r="D364" s="565" t="str">
        <f t="shared" si="42"/>
        <v/>
      </c>
      <c r="E364" s="574" t="str">
        <f t="shared" si="43"/>
        <v/>
      </c>
      <c r="F364" s="580" t="str">
        <f t="shared" si="44"/>
        <v/>
      </c>
      <c r="G364" s="580" t="str">
        <f t="shared" si="45"/>
        <v/>
      </c>
      <c r="H364" s="551" t="str">
        <f>IF(C364="","",IF(OR($D$9=2,$D$9=8),IF(AND(D$7&gt;0,ROUNDDOWN($D$14/6,0)&gt;=58),58,""),""))</f>
        <v/>
      </c>
      <c r="I364" s="565" t="str">
        <f t="shared" si="46"/>
        <v/>
      </c>
      <c r="J364" s="574" t="str">
        <f t="shared" si="47"/>
        <v/>
      </c>
      <c r="K364" s="580" t="str">
        <f t="shared" si="41"/>
        <v/>
      </c>
      <c r="L364" s="591" t="str">
        <f>IF(OR(L363=0,L363=""),"",IF(AND(H364="",C364=""),"",IF(COUNT(H361:H366)&gt;0,L363-IF(I364="",0,I364),"")))</f>
        <v/>
      </c>
    </row>
    <row r="365" spans="2:12">
      <c r="B365" s="540">
        <v>347</v>
      </c>
      <c r="C365" s="551" t="str">
        <f t="shared" si="40"/>
        <v/>
      </c>
      <c r="D365" s="565" t="str">
        <f t="shared" si="42"/>
        <v/>
      </c>
      <c r="E365" s="574" t="str">
        <f t="shared" si="43"/>
        <v/>
      </c>
      <c r="F365" s="580" t="str">
        <f t="shared" si="44"/>
        <v/>
      </c>
      <c r="G365" s="580" t="str">
        <f t="shared" si="45"/>
        <v/>
      </c>
      <c r="H365" s="551" t="str">
        <f>IF(C365="","",IF(OR($D$9=1,$D$9=7),IF(AND(D$7&gt;0,ROUNDDOWN($D$14/6,0)&gt;=58),58,""),""))</f>
        <v/>
      </c>
      <c r="I365" s="565" t="str">
        <f t="shared" si="46"/>
        <v/>
      </c>
      <c r="J365" s="574" t="str">
        <f t="shared" si="47"/>
        <v/>
      </c>
      <c r="K365" s="580" t="str">
        <f t="shared" si="41"/>
        <v/>
      </c>
      <c r="L365" s="591" t="str">
        <f>IF(OR(L364=0,L364=""),"",IF(AND(H365="",C365=""),"",IF(COUNT(H361:H366)&gt;0,L364-IF(I365="",0,I365),"")))</f>
        <v/>
      </c>
    </row>
    <row r="366" spans="2:12">
      <c r="B366" s="540">
        <v>348</v>
      </c>
      <c r="C366" s="551" t="str">
        <f t="shared" si="40"/>
        <v/>
      </c>
      <c r="D366" s="565" t="str">
        <f t="shared" si="42"/>
        <v/>
      </c>
      <c r="E366" s="574" t="str">
        <f t="shared" si="43"/>
        <v/>
      </c>
      <c r="F366" s="580" t="str">
        <f t="shared" si="44"/>
        <v/>
      </c>
      <c r="G366" s="580" t="str">
        <f t="shared" si="45"/>
        <v/>
      </c>
      <c r="H366" s="551" t="str">
        <f>IF(C366="","",IF(OR($D$9=12,$D$9=6),IF(AND(D$7&gt;0,ROUNDDOWN($D$14/6,0)&gt;=58),58,""),""))</f>
        <v/>
      </c>
      <c r="I366" s="565" t="str">
        <f t="shared" si="46"/>
        <v/>
      </c>
      <c r="J366" s="574" t="str">
        <f t="shared" si="47"/>
        <v/>
      </c>
      <c r="K366" s="580" t="str">
        <f t="shared" si="41"/>
        <v/>
      </c>
      <c r="L366" s="591" t="str">
        <f>IF(OR(L365=0,L365=""),"",IF(AND(H366="",C366=""),"",IF(COUNT(H361:H366)&gt;0,L365-IF(I366="",0,I366),"")))</f>
        <v/>
      </c>
    </row>
    <row r="367" spans="2:12">
      <c r="B367" s="540">
        <v>349</v>
      </c>
      <c r="C367" s="553" t="str">
        <f t="shared" si="40"/>
        <v/>
      </c>
      <c r="D367" s="567" t="str">
        <f t="shared" si="42"/>
        <v/>
      </c>
      <c r="E367" s="576" t="str">
        <f t="shared" si="43"/>
        <v/>
      </c>
      <c r="F367" s="582" t="str">
        <f t="shared" si="44"/>
        <v/>
      </c>
      <c r="G367" s="582" t="str">
        <f t="shared" si="45"/>
        <v/>
      </c>
      <c r="H367" s="553" t="str">
        <f>IF(C367="","",IF(OR($D$9=5,$D$9=11),IF(AND(D$7&gt;0,ROUNDDOWN($D$14/6,0)&gt;=59),59,""),""))</f>
        <v/>
      </c>
      <c r="I367" s="567" t="str">
        <f t="shared" si="46"/>
        <v/>
      </c>
      <c r="J367" s="576" t="str">
        <f t="shared" si="47"/>
        <v/>
      </c>
      <c r="K367" s="582" t="str">
        <f t="shared" si="41"/>
        <v/>
      </c>
      <c r="L367" s="593" t="str">
        <f>IF(OR(L366=0,L366=""),"",IF(AND(H367="",C367=""),"",IF(COUNT(H367:H372)&gt;0,L366-IF(I367="",0,I367),"")))</f>
        <v/>
      </c>
    </row>
    <row r="368" spans="2:12">
      <c r="B368" s="540">
        <v>350</v>
      </c>
      <c r="C368" s="551" t="str">
        <f t="shared" si="40"/>
        <v/>
      </c>
      <c r="D368" s="565" t="str">
        <f t="shared" si="42"/>
        <v/>
      </c>
      <c r="E368" s="574" t="str">
        <f t="shared" si="43"/>
        <v/>
      </c>
      <c r="F368" s="580" t="str">
        <f t="shared" si="44"/>
        <v/>
      </c>
      <c r="G368" s="580" t="str">
        <f t="shared" si="45"/>
        <v/>
      </c>
      <c r="H368" s="551" t="str">
        <f>IF(C368="","",IF(OR($D$9=4,$D$9=10),IF(AND(D$7&gt;0,ROUNDDOWN($D$14/6,0)&gt;=59),59,""),""))</f>
        <v/>
      </c>
      <c r="I368" s="565" t="str">
        <f t="shared" si="46"/>
        <v/>
      </c>
      <c r="J368" s="574" t="str">
        <f t="shared" si="47"/>
        <v/>
      </c>
      <c r="K368" s="580" t="str">
        <f t="shared" si="41"/>
        <v/>
      </c>
      <c r="L368" s="591" t="str">
        <f>IF(OR(L367=0,L367=""),"",IF(AND(H368="",C368=""),"",IF(COUNT(H367:H372)&gt;0,L367-IF(I368="",0,I368),"")))</f>
        <v/>
      </c>
    </row>
    <row r="369" spans="2:12">
      <c r="B369" s="540">
        <v>351</v>
      </c>
      <c r="C369" s="551" t="str">
        <f t="shared" si="40"/>
        <v/>
      </c>
      <c r="D369" s="565" t="str">
        <f t="shared" si="42"/>
        <v/>
      </c>
      <c r="E369" s="574" t="str">
        <f t="shared" si="43"/>
        <v/>
      </c>
      <c r="F369" s="580" t="str">
        <f t="shared" si="44"/>
        <v/>
      </c>
      <c r="G369" s="580" t="str">
        <f t="shared" si="45"/>
        <v/>
      </c>
      <c r="H369" s="551" t="str">
        <f>IF(C369="","",IF(OR($D$9=3,$D$9=9),IF(AND(D$7&gt;0,ROUNDDOWN($D$14/6,0)&gt;=59),59,""),""))</f>
        <v/>
      </c>
      <c r="I369" s="565" t="str">
        <f t="shared" si="46"/>
        <v/>
      </c>
      <c r="J369" s="574" t="str">
        <f t="shared" si="47"/>
        <v/>
      </c>
      <c r="K369" s="580" t="str">
        <f t="shared" si="41"/>
        <v/>
      </c>
      <c r="L369" s="591" t="str">
        <f>IF(OR(L368=0,L368=""),"",IF(AND(H369="",C369=""),"",IF(COUNT(H367:H372)&gt;0,L368-IF(I369="",0,I369),"")))</f>
        <v/>
      </c>
    </row>
    <row r="370" spans="2:12">
      <c r="B370" s="540">
        <v>352</v>
      </c>
      <c r="C370" s="551" t="str">
        <f t="shared" si="40"/>
        <v/>
      </c>
      <c r="D370" s="565" t="str">
        <f t="shared" si="42"/>
        <v/>
      </c>
      <c r="E370" s="574" t="str">
        <f t="shared" si="43"/>
        <v/>
      </c>
      <c r="F370" s="580" t="str">
        <f t="shared" si="44"/>
        <v/>
      </c>
      <c r="G370" s="580" t="str">
        <f t="shared" si="45"/>
        <v/>
      </c>
      <c r="H370" s="551" t="str">
        <f>IF(C370="","",IF(OR($D$9=2,$D$9=8),IF(AND(D$7&gt;0,ROUNDDOWN($D$14/6,0)&gt;=59),59,""),""))</f>
        <v/>
      </c>
      <c r="I370" s="565" t="str">
        <f t="shared" si="46"/>
        <v/>
      </c>
      <c r="J370" s="574" t="str">
        <f t="shared" si="47"/>
        <v/>
      </c>
      <c r="K370" s="580" t="str">
        <f t="shared" si="41"/>
        <v/>
      </c>
      <c r="L370" s="591" t="str">
        <f>IF(OR(L369=0,L369=""),"",IF(AND(H370="",C370=""),"",IF(COUNT(H367:H372)&gt;0,L369-IF(I370="",0,I370),"")))</f>
        <v/>
      </c>
    </row>
    <row r="371" spans="2:12">
      <c r="B371" s="540">
        <v>353</v>
      </c>
      <c r="C371" s="551" t="str">
        <f t="shared" si="40"/>
        <v/>
      </c>
      <c r="D371" s="565" t="str">
        <f t="shared" si="42"/>
        <v/>
      </c>
      <c r="E371" s="574" t="str">
        <f t="shared" si="43"/>
        <v/>
      </c>
      <c r="F371" s="580" t="str">
        <f t="shared" si="44"/>
        <v/>
      </c>
      <c r="G371" s="580" t="str">
        <f t="shared" si="45"/>
        <v/>
      </c>
      <c r="H371" s="551" t="str">
        <f>IF(C371="","",IF(OR($D$9=1,$D$9=7),IF(AND(D$7&gt;0,ROUNDDOWN($D$14/6,0)&gt;=59),59,""),""))</f>
        <v/>
      </c>
      <c r="I371" s="565" t="str">
        <f t="shared" si="46"/>
        <v/>
      </c>
      <c r="J371" s="574" t="str">
        <f t="shared" si="47"/>
        <v/>
      </c>
      <c r="K371" s="580" t="str">
        <f t="shared" si="41"/>
        <v/>
      </c>
      <c r="L371" s="591" t="str">
        <f>IF(OR(L370=0,L370=""),"",IF(AND(H371="",C371=""),"",IF(COUNT(H367:H372)&gt;0,L370-IF(I371="",0,I371),"")))</f>
        <v/>
      </c>
    </row>
    <row r="372" spans="2:12">
      <c r="B372" s="540">
        <v>354</v>
      </c>
      <c r="C372" s="552" t="str">
        <f t="shared" si="40"/>
        <v/>
      </c>
      <c r="D372" s="566" t="str">
        <f t="shared" si="42"/>
        <v/>
      </c>
      <c r="E372" s="575" t="str">
        <f t="shared" si="43"/>
        <v/>
      </c>
      <c r="F372" s="581" t="str">
        <f t="shared" si="44"/>
        <v/>
      </c>
      <c r="G372" s="581" t="str">
        <f t="shared" si="45"/>
        <v/>
      </c>
      <c r="H372" s="552" t="str">
        <f>IF(C372="","",IF(OR($D$9=12,$D$9=6),IF(AND(D$7&gt;0,ROUNDDOWN($D$14/6,0)&gt;=59),59,""),""))</f>
        <v/>
      </c>
      <c r="I372" s="566" t="str">
        <f t="shared" si="46"/>
        <v/>
      </c>
      <c r="J372" s="575" t="str">
        <f t="shared" si="47"/>
        <v/>
      </c>
      <c r="K372" s="581" t="str">
        <f t="shared" si="41"/>
        <v/>
      </c>
      <c r="L372" s="592" t="str">
        <f>IF(OR(L371=0,L371=""),"",IF(AND(H372="",C372=""),"",IF(COUNT(H367:H372)&gt;0,L371-IF(I372="",0,I372),"")))</f>
        <v/>
      </c>
    </row>
    <row r="373" spans="2:12">
      <c r="B373" s="540">
        <v>355</v>
      </c>
      <c r="C373" s="551" t="str">
        <f t="shared" si="40"/>
        <v/>
      </c>
      <c r="D373" s="565" t="str">
        <f t="shared" si="42"/>
        <v/>
      </c>
      <c r="E373" s="574" t="str">
        <f t="shared" si="43"/>
        <v/>
      </c>
      <c r="F373" s="580" t="str">
        <f t="shared" si="44"/>
        <v/>
      </c>
      <c r="G373" s="580" t="str">
        <f t="shared" si="45"/>
        <v/>
      </c>
      <c r="H373" s="551" t="str">
        <f>IF(C373="","",IF(OR($D$9=5,$D$9=11),IF(AND(D$7&gt;0,ROUNDDOWN($D$14/6,0)&gt;=60),60,""),""))</f>
        <v/>
      </c>
      <c r="I373" s="604" t="str">
        <f t="shared" ref="I373:I378" si="48">IF(H373="","",L372)</f>
        <v/>
      </c>
      <c r="J373" s="574" t="str">
        <f t="shared" si="47"/>
        <v/>
      </c>
      <c r="K373" s="580" t="str">
        <f t="shared" ref="K373:K378" si="49">IF(H373="","",IF(H373&gt;0,I373+J373,""))</f>
        <v/>
      </c>
      <c r="L373" s="591" t="str">
        <f>IF(OR(L372=0,L372=""),"",IF(AND(H373="",C373=""),"",IF(COUNT(H373:H378)&gt;0,L372-IF(I373="",0,I373),"")))</f>
        <v/>
      </c>
    </row>
    <row r="374" spans="2:12">
      <c r="B374" s="540">
        <v>356</v>
      </c>
      <c r="C374" s="551" t="str">
        <f t="shared" si="40"/>
        <v/>
      </c>
      <c r="D374" s="565" t="str">
        <f t="shared" si="42"/>
        <v/>
      </c>
      <c r="E374" s="574" t="str">
        <f t="shared" si="43"/>
        <v/>
      </c>
      <c r="F374" s="580" t="str">
        <f t="shared" si="44"/>
        <v/>
      </c>
      <c r="G374" s="580" t="str">
        <f t="shared" si="45"/>
        <v/>
      </c>
      <c r="H374" s="551" t="str">
        <f>IF(C374="","",IF(OR($D$9=4,$D$9=10),IF(AND(D$7&gt;0,ROUNDDOWN($D$14/6,0)&gt;=60),60,""),""))</f>
        <v/>
      </c>
      <c r="I374" s="604" t="str">
        <f t="shared" si="48"/>
        <v/>
      </c>
      <c r="J374" s="574" t="str">
        <f t="shared" si="47"/>
        <v/>
      </c>
      <c r="K374" s="580" t="str">
        <f t="shared" si="49"/>
        <v/>
      </c>
      <c r="L374" s="591" t="str">
        <f>IF(OR(L373=0,L373=""),"",IF(AND(H374="",C374=""),"",IF(COUNT(H373:H378)&gt;0,L373-IF(I374="",0,I374),"")))</f>
        <v/>
      </c>
    </row>
    <row r="375" spans="2:12">
      <c r="B375" s="540">
        <v>357</v>
      </c>
      <c r="C375" s="551" t="str">
        <f t="shared" si="40"/>
        <v/>
      </c>
      <c r="D375" s="565" t="str">
        <f t="shared" si="42"/>
        <v/>
      </c>
      <c r="E375" s="574" t="str">
        <f t="shared" si="43"/>
        <v/>
      </c>
      <c r="F375" s="580" t="str">
        <f t="shared" si="44"/>
        <v/>
      </c>
      <c r="G375" s="580" t="str">
        <f t="shared" si="45"/>
        <v/>
      </c>
      <c r="H375" s="551" t="str">
        <f>IF(C375="","",IF(OR($D$9=3,$D$9=9),IF(AND(D$7&gt;0,ROUNDDOWN($D$14/6,0)&gt;=60),60,""),""))</f>
        <v/>
      </c>
      <c r="I375" s="604" t="str">
        <f t="shared" si="48"/>
        <v/>
      </c>
      <c r="J375" s="574" t="str">
        <f t="shared" si="47"/>
        <v/>
      </c>
      <c r="K375" s="580" t="str">
        <f t="shared" si="49"/>
        <v/>
      </c>
      <c r="L375" s="591" t="str">
        <f>IF(OR(L374=0,L374=""),"",IF(AND(H375="",C375=""),"",IF(COUNT(H373:H378)&gt;0,L374-IF(I375="",0,I375),"")))</f>
        <v/>
      </c>
    </row>
    <row r="376" spans="2:12">
      <c r="B376" s="540">
        <v>358</v>
      </c>
      <c r="C376" s="551" t="str">
        <f t="shared" si="40"/>
        <v/>
      </c>
      <c r="D376" s="565" t="str">
        <f t="shared" si="42"/>
        <v/>
      </c>
      <c r="E376" s="574" t="str">
        <f t="shared" si="43"/>
        <v/>
      </c>
      <c r="F376" s="580" t="str">
        <f t="shared" si="44"/>
        <v/>
      </c>
      <c r="G376" s="580" t="str">
        <f t="shared" si="45"/>
        <v/>
      </c>
      <c r="H376" s="551" t="str">
        <f>IF(C376="","",IF(OR($D$9=2,$D$9=8),IF(AND(D$7&gt;0,ROUNDDOWN($D$14/6,0)&gt;=60),60,""),""))</f>
        <v/>
      </c>
      <c r="I376" s="604" t="str">
        <f t="shared" si="48"/>
        <v/>
      </c>
      <c r="J376" s="574" t="str">
        <f t="shared" si="47"/>
        <v/>
      </c>
      <c r="K376" s="580" t="str">
        <f t="shared" si="49"/>
        <v/>
      </c>
      <c r="L376" s="591" t="str">
        <f>IF(OR(L375=0,L375=""),"",IF(AND(H376="",C376=""),"",IF(COUNT(H373:H378)&gt;0,L375-IF(I376="",0,I376),"")))</f>
        <v/>
      </c>
    </row>
    <row r="377" spans="2:12">
      <c r="B377" s="540">
        <v>359</v>
      </c>
      <c r="C377" s="551" t="str">
        <f t="shared" si="40"/>
        <v/>
      </c>
      <c r="D377" s="565" t="str">
        <f t="shared" si="42"/>
        <v/>
      </c>
      <c r="E377" s="574" t="str">
        <f t="shared" si="43"/>
        <v/>
      </c>
      <c r="F377" s="580" t="str">
        <f t="shared" si="44"/>
        <v/>
      </c>
      <c r="G377" s="580" t="str">
        <f t="shared" si="45"/>
        <v/>
      </c>
      <c r="H377" s="551" t="str">
        <f>IF(C377="","",IF(OR($D$9=1,$D$9=7),IF(AND(D$7&gt;0,ROUNDDOWN($D$14/6,0)&gt;=60),60,""),""))</f>
        <v/>
      </c>
      <c r="I377" s="604" t="str">
        <f t="shared" si="48"/>
        <v/>
      </c>
      <c r="J377" s="574" t="str">
        <f t="shared" si="47"/>
        <v/>
      </c>
      <c r="K377" s="580" t="str">
        <f t="shared" si="49"/>
        <v/>
      </c>
      <c r="L377" s="591" t="str">
        <f>IF(OR(L376=0,L376=""),"",IF(AND(H377="",C377=""),"",IF(COUNT(H373:H378)&gt;0,L376-IF(I377="",0,I377),"")))</f>
        <v/>
      </c>
    </row>
    <row r="378" spans="2:12" ht="14.25">
      <c r="B378" s="540">
        <v>360</v>
      </c>
      <c r="C378" s="551" t="str">
        <f t="shared" si="40"/>
        <v/>
      </c>
      <c r="D378" s="565" t="str">
        <f t="shared" si="42"/>
        <v/>
      </c>
      <c r="E378" s="574" t="str">
        <f t="shared" si="43"/>
        <v/>
      </c>
      <c r="F378" s="580" t="str">
        <f t="shared" si="44"/>
        <v/>
      </c>
      <c r="G378" s="580" t="str">
        <f t="shared" si="45"/>
        <v/>
      </c>
      <c r="H378" s="551" t="str">
        <f>IF(C378="","",IF(OR($D$9=12,$D$9=6),IF(AND(D$7&gt;0,ROUNDDOWN($D$14/6,0)&gt;=60),60,""),""))</f>
        <v/>
      </c>
      <c r="I378" s="604" t="str">
        <f t="shared" si="48"/>
        <v/>
      </c>
      <c r="J378" s="575" t="str">
        <f t="shared" si="47"/>
        <v/>
      </c>
      <c r="K378" s="580" t="str">
        <f t="shared" si="49"/>
        <v/>
      </c>
      <c r="L378" s="592" t="str">
        <f>IF(OR(L377=0,L377=""),"",IF(AND(H378="",C378=""),"",IF(COUNT(H373:H378)&gt;0,L377-IF(I378="",0,I378),"")))</f>
        <v/>
      </c>
    </row>
    <row r="379" spans="2:12" ht="14.25">
      <c r="B379" s="538"/>
      <c r="C379" s="549" t="s">
        <v>124</v>
      </c>
      <c r="D379" s="568">
        <f>SUM(D19:D378)</f>
        <v>0</v>
      </c>
      <c r="E379" s="568">
        <f>SUM(E19:E378)</f>
        <v>0</v>
      </c>
      <c r="F379" s="568">
        <f>D379+E379</f>
        <v>0</v>
      </c>
      <c r="G379" s="568"/>
      <c r="H379" s="599" t="s">
        <v>124</v>
      </c>
      <c r="I379" s="568">
        <f>SUM(I19:I378)</f>
        <v>0</v>
      </c>
      <c r="J379" s="568">
        <f>SUM(J19:J378)</f>
        <v>0</v>
      </c>
      <c r="K379" s="568">
        <f>I379+J379</f>
        <v>0</v>
      </c>
      <c r="L379" s="594"/>
    </row>
  </sheetData>
  <mergeCells count="4">
    <mergeCell ref="C2:D2"/>
    <mergeCell ref="G8:H8"/>
    <mergeCell ref="C17:G17"/>
    <mergeCell ref="H17:L17"/>
  </mergeCells>
  <phoneticPr fontId="2"/>
  <pageMargins left="0.75" right="0.75" top="1" bottom="1" header="0.51200000000000001" footer="0.51200000000000001"/>
  <pageSetup paperSize="9" scale="6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貸付申込書</vt:lpstr>
      <vt:lpstr>住宅関連貸付申込書</vt:lpstr>
      <vt:lpstr>借入状況等申告書</vt:lpstr>
      <vt:lpstr>（裏）</vt:lpstr>
      <vt:lpstr>元金均等</vt:lpstr>
      <vt:lpstr>元利金等</vt:lpstr>
    </vt:vector>
  </TitlesOfParts>
  <Company>Hewlett-Packard Company</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西尾 佳子</dc:creator>
  <cp:lastModifiedBy>門前 正恵</cp:lastModifiedBy>
  <cp:lastPrinted>2023-01-23T04:33:53Z</cp:lastPrinted>
  <dcterms:created xsi:type="dcterms:W3CDTF">2019-01-23T00:52:27Z</dcterms:created>
  <dcterms:modified xsi:type="dcterms:W3CDTF">2024-06-27T06:52:10Z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2024-06-27T06:52:10Z</vt:filetime>
  </property>
</Properties>
</file>