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C:\Users\e1188\Desktop\"/>
    </mc:Choice>
  </mc:AlternateContent>
  <xr:revisionPtr revIDLastSave="0" documentId="13_ncr:1_{9D2F45C6-C7C7-4FA2-95C9-99C5ABEAA00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難病 医療機関（病院、診療所、介護医療院）R7.2末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955" i="1" l="1"/>
  <c r="B256" i="1"/>
  <c r="B225" i="1"/>
  <c r="B110" i="1"/>
  <c r="B838" i="1"/>
  <c r="B33" i="1"/>
  <c r="B738" i="1"/>
  <c r="B426" i="1"/>
  <c r="B428" i="1"/>
  <c r="B432" i="1"/>
  <c r="B434" i="1"/>
  <c r="B430" i="1"/>
  <c r="B431" i="1"/>
  <c r="B429" i="1"/>
  <c r="B1216" i="1"/>
  <c r="B1217" i="1"/>
  <c r="B276" i="1"/>
  <c r="B10" i="1"/>
  <c r="B11" i="1"/>
  <c r="B283" i="1"/>
  <c r="B214" i="1"/>
  <c r="B888" i="1"/>
  <c r="B868" i="1"/>
  <c r="B869" i="1"/>
  <c r="B1085" i="1"/>
  <c r="B1084" i="1"/>
  <c r="B1078" i="1"/>
  <c r="B1079" i="1"/>
  <c r="B1201" i="1"/>
  <c r="B1194" i="1"/>
  <c r="B1193" i="1"/>
  <c r="B1199" i="1"/>
  <c r="B1195" i="1"/>
  <c r="B1001" i="1"/>
  <c r="B1002" i="1"/>
  <c r="B1005" i="1"/>
  <c r="B1003" i="1"/>
  <c r="B1117" i="1"/>
  <c r="B1111" i="1"/>
  <c r="B1119" i="1"/>
  <c r="B1114" i="1"/>
  <c r="B1157" i="1"/>
  <c r="B1112" i="1"/>
  <c r="B1155" i="1"/>
  <c r="B1151" i="1"/>
  <c r="B1120" i="1"/>
  <c r="B1116" i="1"/>
  <c r="B1158" i="1"/>
  <c r="B1115" i="1"/>
  <c r="B1118" i="1"/>
  <c r="B1152" i="1"/>
  <c r="B1156" i="1"/>
  <c r="B1154" i="1"/>
  <c r="B1153" i="1"/>
  <c r="B1113" i="1"/>
  <c r="B1181" i="1"/>
  <c r="B1189" i="1"/>
  <c r="B13" i="1"/>
  <c r="B15" i="1"/>
  <c r="B14" i="1"/>
  <c r="B1100" i="1"/>
  <c r="B1180" i="1"/>
  <c r="B1006" i="1"/>
  <c r="B998" i="1"/>
  <c r="B991" i="1"/>
  <c r="B989" i="1"/>
  <c r="B993" i="1"/>
  <c r="B994" i="1"/>
  <c r="B992" i="1"/>
  <c r="B988" i="1"/>
  <c r="A988" i="1"/>
  <c r="B996" i="1"/>
  <c r="B1000" i="1"/>
  <c r="B995" i="1"/>
  <c r="B999" i="1"/>
  <c r="B990" i="1"/>
  <c r="B997" i="1"/>
  <c r="B1004" i="1"/>
  <c r="B877" i="1"/>
  <c r="B864" i="1"/>
  <c r="B878" i="1"/>
  <c r="B871" i="1"/>
  <c r="B866" i="1"/>
  <c r="B876" i="1"/>
  <c r="B862" i="1"/>
  <c r="B874" i="1"/>
  <c r="B875" i="1"/>
  <c r="B881" i="1"/>
  <c r="B886" i="1"/>
  <c r="B883" i="1"/>
  <c r="B884" i="1"/>
  <c r="B887" i="1"/>
  <c r="B879" i="1"/>
  <c r="B885" i="1"/>
  <c r="B873" i="1"/>
  <c r="B882" i="1"/>
  <c r="B863" i="1"/>
  <c r="B872" i="1"/>
  <c r="B840" i="1"/>
  <c r="B841" i="1"/>
  <c r="B839" i="1"/>
  <c r="B837" i="1"/>
  <c r="B842" i="1"/>
  <c r="B814" i="1"/>
  <c r="B811" i="1"/>
  <c r="B815" i="1"/>
  <c r="B809" i="1"/>
  <c r="B810" i="1"/>
  <c r="B766" i="1"/>
  <c r="B765" i="1"/>
  <c r="B763" i="1"/>
  <c r="B767" i="1"/>
  <c r="B764" i="1"/>
  <c r="B739" i="1"/>
  <c r="B737" i="1"/>
  <c r="B740" i="1"/>
  <c r="B424" i="1"/>
  <c r="B385" i="1"/>
  <c r="B467" i="1"/>
  <c r="B425" i="1"/>
  <c r="B460" i="1"/>
  <c r="B474" i="1"/>
  <c r="B419" i="1"/>
  <c r="B383" i="1"/>
  <c r="B418" i="1"/>
  <c r="B410" i="1"/>
  <c r="B440" i="1"/>
  <c r="B453" i="1"/>
  <c r="B433" i="1"/>
  <c r="B415" i="1"/>
  <c r="B450" i="1"/>
  <c r="B402" i="1"/>
  <c r="B388" i="1"/>
  <c r="B406" i="1"/>
  <c r="B427" i="1"/>
  <c r="B413" i="1"/>
  <c r="B476" i="1"/>
  <c r="B412" i="1"/>
  <c r="B456" i="1"/>
  <c r="B444" i="1"/>
  <c r="B452" i="1"/>
  <c r="B384" i="1"/>
  <c r="B462" i="1"/>
  <c r="B392" i="1"/>
  <c r="B438" i="1"/>
  <c r="B447" i="1"/>
  <c r="B466" i="1"/>
  <c r="B394" i="1"/>
  <c r="B414" i="1"/>
  <c r="B455" i="1"/>
  <c r="B421" i="1"/>
  <c r="B451" i="1"/>
  <c r="B470" i="1"/>
  <c r="B420" i="1"/>
  <c r="B473" i="1"/>
  <c r="B404" i="1"/>
  <c r="B471" i="1"/>
  <c r="B443" i="1"/>
  <c r="B459" i="1"/>
  <c r="B446" i="1"/>
  <c r="B461" i="1"/>
  <c r="B411" i="1"/>
  <c r="B477" i="1"/>
  <c r="B454" i="1"/>
  <c r="B382" i="1"/>
  <c r="B389" i="1"/>
  <c r="B396" i="1"/>
  <c r="B464" i="1"/>
  <c r="B458" i="1"/>
  <c r="B386" i="1"/>
  <c r="B401" i="1"/>
  <c r="B395" i="1"/>
  <c r="B468" i="1"/>
  <c r="B390" i="1"/>
  <c r="B416" i="1"/>
  <c r="B393" i="1"/>
  <c r="B407" i="1"/>
  <c r="B387" i="1"/>
  <c r="B469" i="1"/>
  <c r="B478" i="1"/>
  <c r="B465" i="1"/>
  <c r="B463" i="1"/>
  <c r="B403" i="1"/>
  <c r="B479" i="1"/>
  <c r="B437" i="1"/>
  <c r="B397" i="1"/>
  <c r="B475" i="1"/>
  <c r="B405" i="1"/>
  <c r="B408" i="1"/>
  <c r="B399" i="1"/>
  <c r="B417" i="1"/>
  <c r="B449" i="1"/>
  <c r="B435" i="1"/>
  <c r="B442" i="1"/>
  <c r="B270" i="1"/>
  <c r="B268" i="1"/>
  <c r="B279" i="1"/>
  <c r="B277" i="1"/>
  <c r="B286" i="1"/>
  <c r="B285" i="1"/>
  <c r="B269" i="1"/>
  <c r="B287" i="1"/>
  <c r="B278" i="1"/>
  <c r="B282" i="1"/>
  <c r="B274" i="1"/>
  <c r="B280" i="1"/>
  <c r="B272" i="1"/>
  <c r="B284" i="1"/>
  <c r="B273" i="1"/>
  <c r="B281" i="1"/>
  <c r="B207" i="1"/>
  <c r="B216" i="1"/>
  <c r="B210" i="1"/>
  <c r="B213" i="1"/>
  <c r="B205" i="1"/>
  <c r="B217" i="1"/>
  <c r="B211" i="1"/>
  <c r="B206" i="1"/>
  <c r="B472" i="1"/>
  <c r="B208" i="1"/>
  <c r="B215" i="1"/>
  <c r="B209" i="1"/>
  <c r="B391" i="1"/>
  <c r="B212" i="1"/>
  <c r="B187" i="1"/>
  <c r="B188" i="1"/>
  <c r="B25" i="1"/>
  <c r="B8" i="1"/>
  <c r="B21" i="1"/>
  <c r="B39" i="1"/>
  <c r="B44" i="1"/>
  <c r="B23" i="1"/>
  <c r="B45" i="1"/>
  <c r="B9" i="1"/>
  <c r="B27" i="1"/>
  <c r="B17" i="1"/>
  <c r="B30" i="1"/>
  <c r="B4" i="1"/>
  <c r="B12" i="1"/>
  <c r="B43" i="1"/>
  <c r="B19" i="1"/>
  <c r="B35" i="1"/>
  <c r="B34" i="1"/>
  <c r="B16" i="1"/>
  <c r="B28" i="1"/>
  <c r="B5" i="1"/>
  <c r="B31" i="1"/>
  <c r="B22" i="1"/>
  <c r="B38" i="1"/>
  <c r="B7" i="1"/>
  <c r="B26" i="1"/>
  <c r="B24" i="1"/>
  <c r="B42" i="1"/>
  <c r="B18" i="1"/>
  <c r="B37" i="1"/>
  <c r="B41" i="1"/>
  <c r="B40" i="1"/>
  <c r="B20" i="1"/>
  <c r="B29" i="1"/>
  <c r="B6" i="1"/>
  <c r="B36" i="1"/>
  <c r="B32" i="1"/>
  <c r="B843" i="1"/>
  <c r="B517" i="1"/>
  <c r="B132" i="1"/>
  <c r="B831" i="1"/>
  <c r="B816" i="1"/>
  <c r="B828" i="1"/>
  <c r="B829" i="1"/>
  <c r="B830" i="1"/>
  <c r="B780" i="1"/>
  <c r="B781" i="1"/>
  <c r="B782" i="1"/>
  <c r="B772" i="1"/>
  <c r="B1226" i="1"/>
  <c r="B602" i="1"/>
  <c r="B620" i="1"/>
  <c r="B610" i="1"/>
  <c r="B613" i="1"/>
  <c r="B629" i="1"/>
  <c r="B616" i="1"/>
  <c r="B614" i="1"/>
  <c r="B627" i="1"/>
  <c r="B626" i="1"/>
  <c r="B619" i="1"/>
  <c r="B607" i="1"/>
  <c r="B625" i="1"/>
  <c r="B615" i="1"/>
  <c r="B618" i="1"/>
  <c r="B591" i="1"/>
  <c r="B596" i="1"/>
  <c r="B594" i="1"/>
  <c r="B593" i="1"/>
  <c r="B1219" i="1"/>
  <c r="B1218" i="1"/>
  <c r="B1223" i="1"/>
  <c r="B1221" i="1"/>
  <c r="B1224" i="1"/>
  <c r="B1220" i="1"/>
  <c r="B1225" i="1"/>
  <c r="B336" i="1"/>
  <c r="B333" i="1"/>
  <c r="B335" i="1"/>
  <c r="B328" i="1"/>
  <c r="B136" i="1"/>
  <c r="B137" i="1"/>
  <c r="B134" i="1"/>
  <c r="B133" i="1"/>
  <c r="B223" i="1"/>
  <c r="B222" i="1"/>
  <c r="B264" i="1"/>
  <c r="B172" i="1"/>
  <c r="B1214" i="1"/>
  <c r="B360" i="1"/>
  <c r="B263" i="1"/>
  <c r="B254" i="1"/>
  <c r="B913" i="1"/>
  <c r="B914" i="1"/>
  <c r="B1097" i="1"/>
  <c r="B1096" i="1"/>
  <c r="B1095" i="1"/>
  <c r="B1092" i="1"/>
  <c r="B1087" i="1"/>
  <c r="B1089" i="1"/>
  <c r="B1093" i="1"/>
  <c r="B1086" i="1"/>
  <c r="B1206" i="1"/>
  <c r="B1198" i="1"/>
  <c r="B1205" i="1"/>
  <c r="B1209" i="1"/>
  <c r="B1207" i="1"/>
  <c r="B1208" i="1"/>
  <c r="B1023" i="1"/>
  <c r="B1018" i="1"/>
  <c r="B1025" i="1"/>
  <c r="B1108" i="1"/>
  <c r="B1019" i="1"/>
  <c r="B1110" i="1"/>
  <c r="B1057" i="1"/>
  <c r="B1177" i="1"/>
  <c r="B1166" i="1"/>
  <c r="B1144" i="1"/>
  <c r="B1161" i="1"/>
  <c r="B1147" i="1"/>
  <c r="B1178" i="1"/>
  <c r="B1176" i="1"/>
  <c r="B1143" i="1"/>
  <c r="B1160" i="1"/>
  <c r="B1150" i="1"/>
  <c r="B1165" i="1"/>
  <c r="B1122" i="1"/>
  <c r="B1164" i="1"/>
  <c r="B1129" i="1"/>
  <c r="B1136" i="1"/>
  <c r="B1134" i="1"/>
  <c r="B1172" i="1"/>
  <c r="B1169" i="1"/>
  <c r="B1168" i="1"/>
  <c r="B1141" i="1"/>
  <c r="B1128" i="1"/>
  <c r="B1175" i="1"/>
  <c r="B1171" i="1"/>
  <c r="B1127" i="1"/>
  <c r="B1126" i="1"/>
  <c r="B1142" i="1"/>
  <c r="B1174" i="1"/>
  <c r="B1138" i="1"/>
  <c r="B1130" i="1"/>
  <c r="B1149" i="1"/>
  <c r="B1137" i="1"/>
  <c r="B1139" i="1"/>
  <c r="B1133" i="1"/>
  <c r="B1135" i="1"/>
  <c r="B1125" i="1"/>
  <c r="B1173" i="1"/>
  <c r="B1123" i="1"/>
  <c r="B1145" i="1"/>
  <c r="B1140" i="1"/>
  <c r="B1167" i="1"/>
  <c r="B1170" i="1"/>
  <c r="B1124" i="1"/>
  <c r="B1148" i="1"/>
  <c r="B1159" i="1"/>
  <c r="B1162" i="1"/>
  <c r="B1163" i="1"/>
  <c r="B1179" i="1"/>
  <c r="B1132" i="1"/>
  <c r="B1146" i="1"/>
  <c r="B1121" i="1"/>
  <c r="B1131" i="1"/>
  <c r="B1184" i="1"/>
  <c r="B1186" i="1"/>
  <c r="B1188" i="1"/>
  <c r="B1183" i="1"/>
  <c r="B1191" i="1"/>
  <c r="B1185" i="1"/>
  <c r="B66" i="1"/>
  <c r="B1187" i="1"/>
  <c r="B138" i="1"/>
  <c r="B1192" i="1"/>
  <c r="B65" i="1"/>
  <c r="B1102" i="1"/>
  <c r="B61" i="1"/>
  <c r="B1182" i="1"/>
  <c r="B63" i="1"/>
  <c r="B1190" i="1"/>
  <c r="B64" i="1"/>
  <c r="B59" i="1"/>
  <c r="B1104" i="1"/>
  <c r="B1105" i="1"/>
  <c r="B1103" i="1"/>
  <c r="B1107" i="1"/>
  <c r="B1106" i="1"/>
  <c r="B1101" i="1"/>
  <c r="B1013" i="1"/>
  <c r="B1034" i="1"/>
  <c r="B1028" i="1"/>
  <c r="B1011" i="1"/>
  <c r="B1046" i="1"/>
  <c r="B1017" i="1"/>
  <c r="B1031" i="1"/>
  <c r="B1058" i="1"/>
  <c r="B1014" i="1"/>
  <c r="B1040" i="1"/>
  <c r="B1027" i="1"/>
  <c r="B1074" i="1"/>
  <c r="B1010" i="1"/>
  <c r="B1024" i="1"/>
  <c r="B1055" i="1"/>
  <c r="B1041" i="1"/>
  <c r="B1071" i="1"/>
  <c r="B1029" i="1"/>
  <c r="B1044" i="1"/>
  <c r="B1056" i="1"/>
  <c r="B1026" i="1"/>
  <c r="B1059" i="1"/>
  <c r="B1052" i="1"/>
  <c r="B1022" i="1"/>
  <c r="B1009" i="1"/>
  <c r="B1021" i="1"/>
  <c r="B1020" i="1"/>
  <c r="B1043" i="1"/>
  <c r="B1072" i="1"/>
  <c r="B1067" i="1"/>
  <c r="B1050" i="1"/>
  <c r="B1008" i="1"/>
  <c r="B1033" i="1"/>
  <c r="B1007" i="1"/>
  <c r="B1032" i="1"/>
  <c r="B1076" i="1"/>
  <c r="B1042" i="1"/>
  <c r="B1038" i="1"/>
  <c r="B1037" i="1"/>
  <c r="B1062" i="1"/>
  <c r="B1073" i="1"/>
  <c r="B1039" i="1"/>
  <c r="B1049" i="1"/>
  <c r="B1047" i="1"/>
  <c r="B1077" i="1"/>
  <c r="B1036" i="1"/>
  <c r="B1063" i="1"/>
  <c r="B1035" i="1"/>
  <c r="B1030" i="1"/>
  <c r="B1068" i="1"/>
  <c r="B1012" i="1"/>
  <c r="B1069" i="1"/>
  <c r="B1015" i="1"/>
  <c r="B1053" i="1"/>
  <c r="B1045" i="1"/>
  <c r="B1051" i="1"/>
  <c r="B1048" i="1"/>
  <c r="B1061" i="1"/>
  <c r="B1070" i="1"/>
  <c r="B1016" i="1"/>
  <c r="B1075" i="1"/>
  <c r="B1060" i="1"/>
  <c r="B956" i="1"/>
  <c r="B957" i="1"/>
  <c r="B919" i="1"/>
  <c r="B958" i="1"/>
  <c r="B964" i="1"/>
  <c r="B983" i="1"/>
  <c r="B923" i="1"/>
  <c r="B922" i="1"/>
  <c r="B947" i="1"/>
  <c r="B921" i="1"/>
  <c r="B906" i="1"/>
  <c r="B920" i="1"/>
  <c r="B891" i="1"/>
  <c r="B935" i="1"/>
  <c r="B970" i="1"/>
  <c r="B951" i="1"/>
  <c r="B931" i="1"/>
  <c r="B987" i="1"/>
  <c r="B952" i="1"/>
  <c r="B976" i="1"/>
  <c r="B937" i="1"/>
  <c r="B974" i="1"/>
  <c r="B901" i="1"/>
  <c r="B893" i="1"/>
  <c r="B939" i="1"/>
  <c r="B980" i="1"/>
  <c r="B938" i="1"/>
  <c r="B897" i="1"/>
  <c r="B943" i="1"/>
  <c r="B975" i="1"/>
  <c r="B942" i="1"/>
  <c r="B969" i="1"/>
  <c r="B971" i="1"/>
  <c r="B908" i="1"/>
  <c r="B985" i="1"/>
  <c r="B962" i="1"/>
  <c r="B936" i="1"/>
  <c r="B959" i="1"/>
  <c r="B928" i="1"/>
  <c r="B973" i="1"/>
  <c r="B902" i="1"/>
  <c r="B945" i="1"/>
  <c r="B934" i="1"/>
  <c r="B963" i="1"/>
  <c r="B927" i="1"/>
  <c r="B979" i="1"/>
  <c r="B899" i="1"/>
  <c r="B895" i="1"/>
  <c r="B896" i="1"/>
  <c r="B984" i="1"/>
  <c r="B932" i="1"/>
  <c r="B954" i="1"/>
  <c r="B892" i="1"/>
  <c r="B894" i="1"/>
  <c r="B972" i="1"/>
  <c r="B898" i="1"/>
  <c r="B917" i="1"/>
  <c r="B941" i="1"/>
  <c r="B982" i="1"/>
  <c r="B900" i="1"/>
  <c r="B926" i="1"/>
  <c r="B918" i="1"/>
  <c r="B968" i="1"/>
  <c r="B960" i="1"/>
  <c r="B903" i="1"/>
  <c r="B924" i="1"/>
  <c r="B981" i="1"/>
  <c r="B961" i="1"/>
  <c r="B930" i="1"/>
  <c r="B933" i="1"/>
  <c r="B965" i="1"/>
  <c r="B929" i="1"/>
  <c r="B986" i="1"/>
  <c r="B904" i="1"/>
  <c r="B925" i="1"/>
  <c r="B859" i="1"/>
  <c r="B854" i="1"/>
  <c r="B848" i="1"/>
  <c r="B850" i="1"/>
  <c r="B853" i="1"/>
  <c r="B858" i="1"/>
  <c r="B857" i="1"/>
  <c r="B860" i="1"/>
  <c r="B846" i="1"/>
  <c r="B851" i="1"/>
  <c r="B855" i="1"/>
  <c r="B852" i="1"/>
  <c r="B856" i="1"/>
  <c r="B844" i="1"/>
  <c r="B849" i="1"/>
  <c r="B847" i="1"/>
  <c r="B833" i="1"/>
  <c r="B827" i="1"/>
  <c r="B821" i="1"/>
  <c r="B824" i="1"/>
  <c r="B836" i="1"/>
  <c r="B834" i="1"/>
  <c r="B832" i="1"/>
  <c r="B817" i="1"/>
  <c r="B835" i="1"/>
  <c r="B825" i="1"/>
  <c r="B822" i="1"/>
  <c r="B820" i="1"/>
  <c r="B823" i="1"/>
  <c r="B793" i="1"/>
  <c r="B790" i="1"/>
  <c r="B801" i="1"/>
  <c r="B805" i="1"/>
  <c r="B795" i="1"/>
  <c r="B777" i="1"/>
  <c r="B788" i="1"/>
  <c r="B797" i="1"/>
  <c r="B800" i="1"/>
  <c r="B798" i="1"/>
  <c r="B773" i="1"/>
  <c r="B774" i="1"/>
  <c r="B779" i="1"/>
  <c r="B796" i="1"/>
  <c r="B803" i="1"/>
  <c r="B785" i="1"/>
  <c r="B783" i="1"/>
  <c r="B776" i="1"/>
  <c r="B792" i="1"/>
  <c r="B786" i="1"/>
  <c r="B799" i="1"/>
  <c r="B804" i="1"/>
  <c r="B794" i="1"/>
  <c r="B791" i="1"/>
  <c r="B778" i="1"/>
  <c r="B789" i="1"/>
  <c r="B770" i="1"/>
  <c r="B787" i="1"/>
  <c r="B806" i="1"/>
  <c r="B784" i="1"/>
  <c r="B750" i="1"/>
  <c r="B757" i="1"/>
  <c r="B761" i="1"/>
  <c r="B758" i="1"/>
  <c r="B746" i="1"/>
  <c r="B741" i="1"/>
  <c r="B745" i="1"/>
  <c r="B749" i="1"/>
  <c r="B747" i="1"/>
  <c r="B755" i="1"/>
  <c r="B759" i="1"/>
  <c r="B743" i="1"/>
  <c r="B760" i="1"/>
  <c r="B756" i="1"/>
  <c r="B744" i="1"/>
  <c r="B742" i="1"/>
  <c r="B752" i="1"/>
  <c r="B698" i="1"/>
  <c r="B605" i="1"/>
  <c r="B601" i="1"/>
  <c r="B514" i="1"/>
  <c r="B583" i="1"/>
  <c r="B480" i="1"/>
  <c r="B547" i="1"/>
  <c r="B630" i="1"/>
  <c r="B520" i="1"/>
  <c r="B482" i="1"/>
  <c r="B565" i="1"/>
  <c r="B504" i="1"/>
  <c r="B612" i="1"/>
  <c r="B624" i="1"/>
  <c r="B642" i="1"/>
  <c r="B721" i="1"/>
  <c r="B493" i="1"/>
  <c r="B494" i="1"/>
  <c r="B568" i="1"/>
  <c r="B575" i="1"/>
  <c r="B609" i="1"/>
  <c r="B688" i="1"/>
  <c r="B507" i="1"/>
  <c r="B611" i="1"/>
  <c r="B714" i="1"/>
  <c r="B573" i="1"/>
  <c r="B559" i="1"/>
  <c r="B736" i="1"/>
  <c r="B679" i="1"/>
  <c r="B681" i="1"/>
  <c r="B538" i="1"/>
  <c r="B488" i="1"/>
  <c r="B577" i="1"/>
  <c r="B623" i="1"/>
  <c r="B500" i="1"/>
  <c r="B660" i="1"/>
  <c r="B563" i="1"/>
  <c r="B699" i="1"/>
  <c r="B531" i="1"/>
  <c r="B513" i="1"/>
  <c r="B485" i="1"/>
  <c r="B703" i="1"/>
  <c r="B692" i="1"/>
  <c r="B657" i="1"/>
  <c r="B695" i="1"/>
  <c r="B664" i="1"/>
  <c r="B665" i="1"/>
  <c r="B705" i="1"/>
  <c r="B539" i="1"/>
  <c r="B524" i="1"/>
  <c r="B687" i="1"/>
  <c r="B722" i="1"/>
  <c r="B676" i="1"/>
  <c r="B608" i="1"/>
  <c r="B638" i="1"/>
  <c r="B663" i="1"/>
  <c r="B662" i="1"/>
  <c r="B702" i="1"/>
  <c r="B566" i="1"/>
  <c r="B518" i="1"/>
  <c r="B636" i="1"/>
  <c r="B685" i="1"/>
  <c r="B666" i="1"/>
  <c r="B600" i="1"/>
  <c r="B503" i="1"/>
  <c r="B580" i="1"/>
  <c r="B684" i="1"/>
  <c r="B505" i="1"/>
  <c r="B712" i="1"/>
  <c r="B725" i="1"/>
  <c r="B707" i="1"/>
  <c r="B512" i="1"/>
  <c r="B632" i="1"/>
  <c r="B637" i="1"/>
  <c r="B672" i="1"/>
  <c r="B487" i="1"/>
  <c r="B710" i="1"/>
  <c r="B606" i="1"/>
  <c r="B650" i="1"/>
  <c r="B523" i="1"/>
  <c r="B675" i="1"/>
  <c r="B678" i="1"/>
  <c r="B658" i="1"/>
  <c r="B548" i="1"/>
  <c r="B592" i="1"/>
  <c r="B582" i="1"/>
  <c r="B545" i="1"/>
  <c r="B490" i="1"/>
  <c r="B556" i="1"/>
  <c r="B646" i="1"/>
  <c r="B677" i="1"/>
  <c r="B553" i="1"/>
  <c r="B540" i="1"/>
  <c r="B486" i="1"/>
  <c r="B655" i="1"/>
  <c r="B667" i="1"/>
  <c r="B717" i="1"/>
  <c r="B560" i="1"/>
  <c r="B656" i="1"/>
  <c r="B671" i="1"/>
  <c r="B621" i="1"/>
  <c r="B501" i="1"/>
  <c r="B649" i="1"/>
  <c r="B723" i="1"/>
  <c r="B716" i="1"/>
  <c r="B587" i="1"/>
  <c r="B532" i="1"/>
  <c r="B653" i="1"/>
  <c r="B497" i="1"/>
  <c r="B604" i="1"/>
  <c r="B670" i="1"/>
  <c r="B704" i="1"/>
  <c r="B570" i="1"/>
  <c r="B509" i="1"/>
  <c r="B639" i="1"/>
  <c r="B510" i="1"/>
  <c r="B711" i="1"/>
  <c r="B597" i="1"/>
  <c r="B572" i="1"/>
  <c r="B534" i="1"/>
  <c r="B730" i="1"/>
  <c r="B732" i="1"/>
  <c r="B693" i="1"/>
  <c r="B508" i="1"/>
  <c r="B567" i="1"/>
  <c r="B551" i="1"/>
  <c r="B696" i="1"/>
  <c r="B536" i="1"/>
  <c r="B586" i="1"/>
  <c r="B644" i="1"/>
  <c r="B562" i="1"/>
  <c r="B726" i="1"/>
  <c r="B554" i="1"/>
  <c r="B522" i="1"/>
  <c r="B519" i="1"/>
  <c r="B690" i="1"/>
  <c r="B527" i="1"/>
  <c r="B584" i="1"/>
  <c r="B648" i="1"/>
  <c r="B697" i="1"/>
  <c r="B483" i="1"/>
  <c r="B643" i="1"/>
  <c r="B694" i="1"/>
  <c r="B498" i="1"/>
  <c r="B709" i="1"/>
  <c r="B543" i="1"/>
  <c r="B529" i="1"/>
  <c r="B727" i="1"/>
  <c r="B683" i="1"/>
  <c r="B631" i="1"/>
  <c r="B574" i="1"/>
  <c r="B668" i="1"/>
  <c r="B682" i="1"/>
  <c r="B731" i="1"/>
  <c r="B635" i="1"/>
  <c r="B564" i="1"/>
  <c r="B533" i="1"/>
  <c r="B557" i="1"/>
  <c r="B576" i="1"/>
  <c r="B599" i="1"/>
  <c r="B720" i="1"/>
  <c r="B733" i="1"/>
  <c r="B640" i="1"/>
  <c r="B691" i="1"/>
  <c r="B511" i="1"/>
  <c r="B571" i="1"/>
  <c r="B674" i="1"/>
  <c r="B724" i="1"/>
  <c r="B718" i="1"/>
  <c r="B578" i="1"/>
  <c r="B669" i="1"/>
  <c r="B530" i="1"/>
  <c r="B689" i="1"/>
  <c r="B715" i="1"/>
  <c r="B701" i="1"/>
  <c r="B729" i="1"/>
  <c r="B708" i="1"/>
  <c r="B526" i="1"/>
  <c r="B700" i="1"/>
  <c r="B686" i="1"/>
  <c r="B647" i="1"/>
  <c r="B516" i="1"/>
  <c r="B515" i="1"/>
  <c r="B484" i="1"/>
  <c r="B654" i="1"/>
  <c r="B728" i="1"/>
  <c r="B598" i="1"/>
  <c r="B537" i="1"/>
  <c r="B661" i="1"/>
  <c r="B549" i="1"/>
  <c r="B561" i="1"/>
  <c r="B719" i="1"/>
  <c r="B489" i="1"/>
  <c r="B528" i="1"/>
  <c r="B706" i="1"/>
  <c r="B581" i="1"/>
  <c r="B550" i="1"/>
  <c r="B552" i="1"/>
  <c r="B641" i="1"/>
  <c r="B525" i="1"/>
  <c r="B546" i="1"/>
  <c r="B541" i="1"/>
  <c r="B569" i="1"/>
  <c r="B659" i="1"/>
  <c r="B555" i="1"/>
  <c r="B535" i="1"/>
  <c r="B645" i="1"/>
  <c r="B585" i="1"/>
  <c r="B542" i="1"/>
  <c r="B680" i="1"/>
  <c r="B544" i="1"/>
  <c r="B734" i="1"/>
  <c r="B713" i="1"/>
  <c r="B558" i="1"/>
  <c r="B491" i="1"/>
  <c r="B288" i="1"/>
  <c r="B323" i="1"/>
  <c r="B295" i="1"/>
  <c r="B298" i="1"/>
  <c r="B294" i="1"/>
  <c r="B297" i="1"/>
  <c r="B305" i="1"/>
  <c r="B369" i="1"/>
  <c r="B380" i="1"/>
  <c r="B381" i="1"/>
  <c r="B343" i="1"/>
  <c r="B292" i="1"/>
  <c r="B325" i="1"/>
  <c r="B314" i="1"/>
  <c r="B304" i="1"/>
  <c r="B370" i="1"/>
  <c r="B379" i="1"/>
  <c r="B293" i="1"/>
  <c r="B329" i="1"/>
  <c r="B317" i="1"/>
  <c r="B316" i="1"/>
  <c r="B373" i="1"/>
  <c r="B340" i="1"/>
  <c r="B308" i="1"/>
  <c r="B347" i="1"/>
  <c r="B349" i="1"/>
  <c r="B368" i="1"/>
  <c r="B327" i="1"/>
  <c r="B350" i="1"/>
  <c r="B339" i="1"/>
  <c r="B321" i="1"/>
  <c r="B346" i="1"/>
  <c r="B322" i="1"/>
  <c r="B320" i="1"/>
  <c r="B345" i="1"/>
  <c r="B338" i="1"/>
  <c r="B375" i="1"/>
  <c r="B348" i="1"/>
  <c r="B318" i="1"/>
  <c r="B306" i="1"/>
  <c r="B341" i="1"/>
  <c r="B356" i="1"/>
  <c r="B374" i="1"/>
  <c r="B324" i="1"/>
  <c r="B357" i="1"/>
  <c r="B363" i="1"/>
  <c r="B367" i="1"/>
  <c r="B342" i="1"/>
  <c r="B315" i="1"/>
  <c r="B371" i="1"/>
  <c r="B365" i="1"/>
  <c r="B312" i="1"/>
  <c r="B326" i="1"/>
  <c r="B313" i="1"/>
  <c r="B364" i="1"/>
  <c r="B355" i="1"/>
  <c r="B309" i="1"/>
  <c r="B366" i="1"/>
  <c r="B358" i="1"/>
  <c r="B362" i="1"/>
  <c r="B311" i="1"/>
  <c r="B353" i="1"/>
  <c r="B310" i="1"/>
  <c r="B372" i="1"/>
  <c r="B354" i="1"/>
  <c r="B307" i="1"/>
  <c r="B219" i="1"/>
  <c r="B218" i="1"/>
  <c r="B240" i="1"/>
  <c r="B249" i="1"/>
  <c r="B255" i="1"/>
  <c r="B224" i="1"/>
  <c r="B234" i="1"/>
  <c r="B220" i="1"/>
  <c r="B250" i="1"/>
  <c r="B267" i="1"/>
  <c r="B262" i="1"/>
  <c r="B238" i="1"/>
  <c r="B232" i="1"/>
  <c r="B227" i="1"/>
  <c r="B221" i="1"/>
  <c r="B239" i="1"/>
  <c r="B235" i="1"/>
  <c r="B231" i="1"/>
  <c r="B257" i="1"/>
  <c r="B243" i="1"/>
  <c r="B266" i="1"/>
  <c r="B265" i="1"/>
  <c r="B259" i="1"/>
  <c r="B246" i="1"/>
  <c r="B226" i="1"/>
  <c r="B244" i="1"/>
  <c r="B237" i="1"/>
  <c r="B230" i="1"/>
  <c r="B252" i="1"/>
  <c r="B236" i="1"/>
  <c r="B233" i="1"/>
  <c r="B229" i="1"/>
  <c r="B228" i="1"/>
  <c r="B251" i="1"/>
  <c r="B242" i="1"/>
  <c r="B258" i="1"/>
  <c r="B248" i="1"/>
  <c r="B260" i="1"/>
  <c r="B253" i="1"/>
  <c r="B247" i="1"/>
  <c r="B261" i="1"/>
  <c r="B192" i="1"/>
  <c r="B201" i="1"/>
  <c r="B198" i="1"/>
  <c r="B196" i="1"/>
  <c r="B199" i="1"/>
  <c r="B202" i="1"/>
  <c r="B200" i="1"/>
  <c r="B197" i="1"/>
  <c r="B195" i="1"/>
  <c r="B203" i="1"/>
  <c r="B204" i="1"/>
  <c r="B57" i="1"/>
  <c r="B123" i="1"/>
  <c r="B169" i="1"/>
  <c r="B186" i="1"/>
  <c r="B130" i="1"/>
  <c r="B157" i="1"/>
  <c r="B154" i="1"/>
  <c r="B92" i="1"/>
  <c r="B128" i="1"/>
  <c r="B103" i="1"/>
  <c r="B46" i="1"/>
  <c r="B94" i="1"/>
  <c r="B69" i="1"/>
  <c r="B58" i="1"/>
  <c r="B150" i="1"/>
  <c r="B115" i="1"/>
  <c r="B179" i="1"/>
  <c r="B53" i="1"/>
  <c r="B91" i="1"/>
  <c r="B70" i="1"/>
  <c r="B171" i="1"/>
  <c r="B143" i="1"/>
  <c r="B47" i="1"/>
  <c r="B168" i="1"/>
  <c r="B176" i="1"/>
  <c r="B185" i="1"/>
  <c r="B81" i="1"/>
  <c r="B62" i="1"/>
  <c r="B96" i="1"/>
  <c r="B155" i="1"/>
  <c r="B72" i="1"/>
  <c r="B139" i="1"/>
  <c r="B93" i="1"/>
  <c r="B182" i="1"/>
  <c r="B85" i="1"/>
  <c r="B78" i="1"/>
  <c r="B122" i="1"/>
  <c r="B135" i="1"/>
  <c r="B73" i="1"/>
  <c r="B84" i="1"/>
  <c r="B149" i="1"/>
  <c r="B112" i="1"/>
  <c r="B163" i="1"/>
  <c r="B141" i="1"/>
  <c r="B160" i="1"/>
  <c r="B144" i="1"/>
  <c r="B145" i="1"/>
  <c r="B106" i="1"/>
  <c r="B95" i="1"/>
  <c r="B147" i="1"/>
  <c r="B124" i="1"/>
  <c r="B79" i="1"/>
  <c r="B170" i="1"/>
  <c r="B56" i="1"/>
  <c r="B60" i="1"/>
  <c r="B165" i="1"/>
  <c r="B153" i="1"/>
  <c r="B121" i="1"/>
  <c r="B108" i="1"/>
  <c r="B67" i="1"/>
  <c r="B127" i="1"/>
  <c r="B166" i="1"/>
  <c r="B164" i="1"/>
  <c r="B99" i="1"/>
  <c r="B88" i="1"/>
  <c r="B105" i="1"/>
  <c r="B54" i="1"/>
  <c r="B142" i="1"/>
  <c r="B175" i="1"/>
  <c r="B177" i="1"/>
  <c r="B48" i="1"/>
  <c r="B76" i="1"/>
  <c r="B181" i="1"/>
  <c r="B118" i="1"/>
  <c r="B51" i="1"/>
  <c r="B120" i="1"/>
  <c r="B162" i="1"/>
  <c r="B116" i="1"/>
  <c r="B174" i="1"/>
  <c r="B184" i="1"/>
  <c r="B75" i="1"/>
  <c r="B97" i="1"/>
  <c r="B140" i="1"/>
  <c r="B89" i="1"/>
  <c r="B102" i="1"/>
  <c r="B125" i="1"/>
  <c r="B167" i="1"/>
  <c r="B117" i="1"/>
  <c r="B100" i="1"/>
  <c r="B152" i="1"/>
  <c r="B107" i="1"/>
  <c r="B159" i="1"/>
  <c r="B82" i="1"/>
  <c r="B104" i="1"/>
  <c r="B158" i="1"/>
  <c r="B178" i="1"/>
  <c r="B74" i="1"/>
  <c r="B126" i="1"/>
  <c r="B83" i="1"/>
  <c r="B86" i="1"/>
  <c r="B101" i="1"/>
  <c r="B156" i="1"/>
  <c r="B161" i="1"/>
  <c r="B183" i="1"/>
  <c r="B111" i="1"/>
  <c r="B55" i="1"/>
  <c r="B129" i="1"/>
  <c r="B77" i="1"/>
  <c r="B113" i="1"/>
  <c r="B146" i="1"/>
  <c r="B80" i="1"/>
  <c r="B180" i="1"/>
  <c r="B148" i="1"/>
  <c r="B151" i="1"/>
  <c r="B90" i="1"/>
  <c r="B98" i="1"/>
  <c r="B87" i="1"/>
  <c r="B109" i="1"/>
  <c r="B119" i="1"/>
  <c r="B49" i="1"/>
  <c r="B114" i="1"/>
  <c r="B50" i="1"/>
  <c r="B52" i="1"/>
  <c r="B131" i="1"/>
</calcChain>
</file>

<file path=xl/sharedStrings.xml><?xml version="1.0" encoding="utf-8"?>
<sst xmlns="http://schemas.openxmlformats.org/spreadsheetml/2006/main" count="1367" uniqueCount="1342">
  <si>
    <t>医療法人しみずハート内科クリニック</t>
  </si>
  <si>
    <t>医療法人社団たつき会　菅田医院</t>
  </si>
  <si>
    <t>医療法人社団めぐみ会　森藤医院</t>
  </si>
  <si>
    <t>三次市休日夜間急患センター</t>
  </si>
  <si>
    <t>医療法人武富眼科医院</t>
  </si>
  <si>
    <t>住所</t>
  </si>
  <si>
    <t>よつばクリニック</t>
  </si>
  <si>
    <t>社会医療法人里仁会　介護医療院白龍湖</t>
  </si>
  <si>
    <t>早川歯科医院</t>
  </si>
  <si>
    <t>名称</t>
  </si>
  <si>
    <t>檀上歯科医院</t>
  </si>
  <si>
    <t>医療法人藤田内科医院</t>
  </si>
  <si>
    <t>片山整形外科医院</t>
  </si>
  <si>
    <t>たじま歯科医院</t>
  </si>
  <si>
    <t>東広島市西条町寺家513</t>
  </si>
  <si>
    <t>医療法人社団モノベ歯科医院</t>
  </si>
  <si>
    <t>日野歯科医院</t>
  </si>
  <si>
    <t>ＡＯＩ広島病院</t>
  </si>
  <si>
    <t>なんば医院</t>
  </si>
  <si>
    <t>医療法人順典会　手島医院</t>
  </si>
  <si>
    <t>医療法人社団豊仁会　みはら眼科みなみざおうクリニック</t>
  </si>
  <si>
    <t>医療法人社団谷口クリニック</t>
  </si>
  <si>
    <t>医療法人刀圭会　諫見内科眼科医院</t>
  </si>
  <si>
    <t>医療法人社団コアラ小児歯科</t>
  </si>
  <si>
    <t>宮河小児科医院</t>
  </si>
  <si>
    <t>あおぞら歯科</t>
  </si>
  <si>
    <t>医療法人社団二山会　宗近病院</t>
  </si>
  <si>
    <t>医療法人社団翠明会　藤田医院</t>
  </si>
  <si>
    <t>みはらえきまえクリニック</t>
  </si>
  <si>
    <t>医療法人敬友会　藤原脳神経外科クリニック</t>
  </si>
  <si>
    <t>医療法人社団柚木外科医院</t>
  </si>
  <si>
    <t>神垣医院</t>
  </si>
  <si>
    <t>医療法人長谷川整形外科</t>
  </si>
  <si>
    <t>いしいクリニック</t>
  </si>
  <si>
    <t>国家公務員共済組合連合会　呉共済病院</t>
  </si>
  <si>
    <t>福山市神辺町川北1533</t>
  </si>
  <si>
    <t>本町医院</t>
  </si>
  <si>
    <t>福山市加茂町下加茂993</t>
  </si>
  <si>
    <t>医療法人社団尾田歯科クリニック</t>
  </si>
  <si>
    <t>日本鋼管福山病院</t>
  </si>
  <si>
    <t>医療法人社団山形内科循環器医院</t>
  </si>
  <si>
    <t>医療法人社団わらび会　脇田医院</t>
  </si>
  <si>
    <t>三菱ケミカル株式会社　広島事業所診療所</t>
  </si>
  <si>
    <t>高橋歯科医院</t>
  </si>
  <si>
    <t>東広島中央クリニック</t>
  </si>
  <si>
    <t>しんき歯科医院</t>
  </si>
  <si>
    <t>弓井歯科医院</t>
  </si>
  <si>
    <t>德永歯科医院</t>
  </si>
  <si>
    <t>福山市鞆町鞆323</t>
  </si>
  <si>
    <t>村田内科クリニック</t>
  </si>
  <si>
    <t>みやじまアイクリニック</t>
  </si>
  <si>
    <t>呉みどりヶ丘病院（歯科）</t>
  </si>
  <si>
    <t>巻幡内科医院</t>
  </si>
  <si>
    <t>本田クリニック・東広島胃と腸内視鏡内科</t>
  </si>
  <si>
    <t>医療法人福原内科クリニック</t>
  </si>
  <si>
    <t>安芸高田市吉田町吉田3666</t>
  </si>
  <si>
    <t>医療法人社団　平田耳鼻咽喉科</t>
  </si>
  <si>
    <t>安芸太田病院</t>
  </si>
  <si>
    <t>よねくら小児科</t>
  </si>
  <si>
    <t>おぎ皮膚科アレルギー科クリニック</t>
  </si>
  <si>
    <t>じごぜんクリニック</t>
  </si>
  <si>
    <t>井野口病院</t>
  </si>
  <si>
    <t>医療法人社団まきだクリニック</t>
  </si>
  <si>
    <t>医療法人杏竹会　中島内科クリニック</t>
  </si>
  <si>
    <t>岡田医院</t>
  </si>
  <si>
    <t>南海田病院</t>
  </si>
  <si>
    <t>すずき内科胃腸科クリニック</t>
  </si>
  <si>
    <t>医療法人社団　石根内科循環器科医院</t>
  </si>
  <si>
    <t>辰川歯科医院</t>
  </si>
  <si>
    <t>医療法人玉木産婦人科クリニック</t>
  </si>
  <si>
    <t>医療法人東和会　小林病院</t>
  </si>
  <si>
    <t>因島医師会病院</t>
  </si>
  <si>
    <t>公立くい診療所</t>
  </si>
  <si>
    <t>医療法人社団小坂耳鼻咽喉科クリニック</t>
  </si>
  <si>
    <t>医療法人妙好会　ときや内科</t>
  </si>
  <si>
    <t>医療法人社団有信会　呉記念病院</t>
  </si>
  <si>
    <t>坂本眼科小児科クリニック</t>
  </si>
  <si>
    <t>医療法人緑風会　ほうゆう病院</t>
  </si>
  <si>
    <t>医療法人社団仁寿会　こうの医院</t>
  </si>
  <si>
    <t>脳神経センター大田記念病院</t>
  </si>
  <si>
    <t>医療法人社団小林医院</t>
  </si>
  <si>
    <t>医療法人社団佐々木医院</t>
  </si>
  <si>
    <t>医療法人恵信会　木村胃腸科病院</t>
  </si>
  <si>
    <t>みやもと歯科医院</t>
  </si>
  <si>
    <t>呉芸南病院</t>
  </si>
  <si>
    <t>田渕歯科医院</t>
  </si>
  <si>
    <t>木村耳鼻咽喉科アレルギー科</t>
  </si>
  <si>
    <t>栗栖歯科クリニック</t>
  </si>
  <si>
    <t>医療法人宗斉会　須波宗斉会病院</t>
  </si>
  <si>
    <t>医療法人社団杏善会　初鹿内科胃腸科医院</t>
  </si>
  <si>
    <t>三木谷胃腸科内科医院</t>
  </si>
  <si>
    <t>社会医療法人里仁会　仁生クリニック</t>
  </si>
  <si>
    <t>ふじ歯科クリニック</t>
  </si>
  <si>
    <t>医療法人叡幸会　岡本耳鼻咽喉科医院</t>
  </si>
  <si>
    <t>医療法人社団隼朋会　上田耳鼻咽喉科医院</t>
  </si>
  <si>
    <t>医療法人能宗クリニック</t>
  </si>
  <si>
    <t>大宇根内科呼吸器科クリニック</t>
  </si>
  <si>
    <t>尾道市高須町5737</t>
  </si>
  <si>
    <t>三原市鷺浦町向田野浦1712</t>
  </si>
  <si>
    <t>医療法人紘友会　福山友愛病院</t>
  </si>
  <si>
    <t>医療法人社団松本内科胃腸科医院</t>
  </si>
  <si>
    <t>クリニックたなべ整形外科</t>
  </si>
  <si>
    <t>医療法人社団福岡医院</t>
  </si>
  <si>
    <t>広島県立総合リハビリテーションセンター医療センター</t>
  </si>
  <si>
    <t>医療法人社団中川会　呉中通病院</t>
  </si>
  <si>
    <t>循環器・内科　ふじたクリニック</t>
  </si>
  <si>
    <t>医療法人社団眞田クリニック</t>
  </si>
  <si>
    <t>福山市駅家町近田582</t>
  </si>
  <si>
    <t>医療法人社団明健会　冨永内科医院</t>
  </si>
  <si>
    <t>医療法人社団慈正会　大矢整形外科病院</t>
  </si>
  <si>
    <t>かじはら内科医院</t>
  </si>
  <si>
    <t>医療法人社団正岡クリニック</t>
  </si>
  <si>
    <t>医療法人社団おおぞら会　おかもと歯科医院</t>
  </si>
  <si>
    <t>社会医療法人定和会　神原病院</t>
  </si>
  <si>
    <t>医療法人社団片岡皮膚科</t>
  </si>
  <si>
    <t>福山市加茂町中野812</t>
  </si>
  <si>
    <t>医療法人社団尚志会　福山城西病院</t>
  </si>
  <si>
    <t>尾道市栗原町11482</t>
  </si>
  <si>
    <t>医療法人社団永楽会　前田病院</t>
  </si>
  <si>
    <t>奥村歯科医院</t>
  </si>
  <si>
    <t>医療法人社団碧雄会　おきとう歯科クリニック</t>
  </si>
  <si>
    <t>医療法人大田整形外科</t>
  </si>
  <si>
    <t>医療法人社団光誠会　早志歯科福富診療所</t>
  </si>
  <si>
    <t>西谷内科</t>
  </si>
  <si>
    <t>伊勢丘内科クリニック</t>
  </si>
  <si>
    <t>小倉歯科クリニック</t>
  </si>
  <si>
    <t>佐藤病院</t>
  </si>
  <si>
    <t>たかはし歯科医院</t>
  </si>
  <si>
    <t>太田整形外科</t>
  </si>
  <si>
    <t>浦崎診療所</t>
  </si>
  <si>
    <t>つちや歯科</t>
  </si>
  <si>
    <t>廿日市市吉和診療所</t>
  </si>
  <si>
    <t>ふじた歯科医院</t>
  </si>
  <si>
    <t>福山市水呑町4526</t>
  </si>
  <si>
    <t>しんこころのクリニック</t>
  </si>
  <si>
    <t>庄原市国民健康保険総領診療所</t>
  </si>
  <si>
    <t>医療法人社団平井外科胃腸科医院</t>
  </si>
  <si>
    <t>医療法人井之川眼科医院</t>
  </si>
  <si>
    <t>正畠歯科医院</t>
  </si>
  <si>
    <t>静悠会コム・クリニック佐藤</t>
  </si>
  <si>
    <t>医療法人せいざん　青山病院</t>
  </si>
  <si>
    <t>医療法人社団佐藤耳鼻咽喉科医院</t>
  </si>
  <si>
    <t>さとう皮ふ科</t>
  </si>
  <si>
    <t>社会福祉法人恩賜財団済生会支部広島県済生会　済生会呉病院</t>
  </si>
  <si>
    <t>医療法人社団慈成会　武井胃腸科内科</t>
  </si>
  <si>
    <t>まことのこころクリニック</t>
  </si>
  <si>
    <t>医療法人松本内科医院</t>
  </si>
  <si>
    <t>医療法人社団敬崇会　猪原食べる総合歯科医療クリニック（歯科）</t>
  </si>
  <si>
    <t>医療法人社団　毛利内科胃腸科医院</t>
  </si>
  <si>
    <t>独立行政法人労働者健康安全機構　中国労災病院</t>
  </si>
  <si>
    <t>医療法人社団　藤崎眼科医院</t>
  </si>
  <si>
    <t>三好内科胃腸科</t>
  </si>
  <si>
    <t>医療法人社団喜真会　弘田内科クリニック</t>
  </si>
  <si>
    <t>井上病院</t>
  </si>
  <si>
    <t>いのくちクリニック</t>
  </si>
  <si>
    <t>クリニック平田整形外科</t>
  </si>
  <si>
    <t>呉市医師会病院</t>
  </si>
  <si>
    <t>やすだ歯科</t>
  </si>
  <si>
    <t>医療法人社団かなもと医院</t>
  </si>
  <si>
    <t>加納内科消化器科</t>
  </si>
  <si>
    <t>医療法人社団さゆり会　向井内科</t>
  </si>
  <si>
    <t>おおた歯科医院</t>
  </si>
  <si>
    <t>独立行政法人労働者健康安全機構　中国労災病院（歯科）</t>
  </si>
  <si>
    <t>眼科宍道医院</t>
  </si>
  <si>
    <t>やすかわ泌尿器科クリニック</t>
  </si>
  <si>
    <t>ひじり皮ふ科クリニック</t>
  </si>
  <si>
    <t>医療法人S.R.C.中光整形外科リハビリクリニック</t>
  </si>
  <si>
    <t>江田島市能美町中町4711</t>
  </si>
  <si>
    <t>尾道市御調町市124</t>
  </si>
  <si>
    <t>二井谷内科</t>
  </si>
  <si>
    <t>医療法人佐野内科胃腸科医院</t>
  </si>
  <si>
    <t>石田眼科医院</t>
  </si>
  <si>
    <t>城本内科医院</t>
  </si>
  <si>
    <t>村上内科胃腸科</t>
  </si>
  <si>
    <t>原医院</t>
  </si>
  <si>
    <t>さゆりクリニック</t>
  </si>
  <si>
    <t>藤井歯科医院</t>
  </si>
  <si>
    <t>石川医院</t>
  </si>
  <si>
    <t>医療法人社団若葉会　蔵王病院</t>
  </si>
  <si>
    <t>医療法人社団知仁会　メープルヒル病院</t>
  </si>
  <si>
    <t>瀬尾クリニック</t>
  </si>
  <si>
    <t>医療法人社団一紀会　勝谷医院</t>
  </si>
  <si>
    <t>医療法人社団仁井谷医院　にいたにクリニック</t>
  </si>
  <si>
    <t>医療法人社団大下クリニック</t>
  </si>
  <si>
    <t>杉医院</t>
  </si>
  <si>
    <t>正岡外科胃腸科医院</t>
  </si>
  <si>
    <t>医療法人社団辰星会　新開医院</t>
  </si>
  <si>
    <t>久保整形外科内科</t>
  </si>
  <si>
    <t>医療法人社団仁井谷医院</t>
  </si>
  <si>
    <t>医療法人社団晃和会　半明内科クリニック</t>
  </si>
  <si>
    <t>医療法人たがしら医院</t>
  </si>
  <si>
    <t>福山市新市町新市37</t>
  </si>
  <si>
    <t>よしかわ医院</t>
  </si>
  <si>
    <t>医療法人社団ののやま矯正歯科医院</t>
  </si>
  <si>
    <t>宮原内科医院</t>
  </si>
  <si>
    <t>令和アイクリニック</t>
  </si>
  <si>
    <t>医療法人輝眸会　小川眼科</t>
  </si>
  <si>
    <t>マッターホルンリハビリテーション病院</t>
  </si>
  <si>
    <t>北広島町八幡診療所</t>
  </si>
  <si>
    <t>社会福祉法人三篠会　重症児・者福祉医療施設　原</t>
  </si>
  <si>
    <t>三次市国民健康保険川西診療所</t>
  </si>
  <si>
    <t>医療法人西亀会　みつの内科消化器科クリニック</t>
  </si>
  <si>
    <t>府中市中須町77</t>
  </si>
  <si>
    <t>医療法人仁康会　本郷中央病院</t>
  </si>
  <si>
    <t>たんきょう眼科</t>
  </si>
  <si>
    <t>紙谷歯科医院</t>
  </si>
  <si>
    <t>医療法人社団葵会　八本松病院</t>
  </si>
  <si>
    <t>医療法人木曽胃腸科内科</t>
  </si>
  <si>
    <t>医療法人社団ひかり会　焼山木村眼科</t>
  </si>
  <si>
    <t>総合病院三原赤十字病院</t>
  </si>
  <si>
    <t>まきはたクリニック</t>
  </si>
  <si>
    <t>医療法人社団豊和会　豊田内科胃腸科</t>
  </si>
  <si>
    <t>尾道市因島中庄町1962</t>
  </si>
  <si>
    <t>医療法人社団柏村歯科</t>
  </si>
  <si>
    <t>福山市水呑町1927</t>
  </si>
  <si>
    <t>医療法人源仁会　箕岡内科医院</t>
  </si>
  <si>
    <t>医療法人社団石井外科診療所</t>
  </si>
  <si>
    <t>医療法人徹慈会　春日クリニック</t>
  </si>
  <si>
    <t>医療法人社団和恒会　ふたば病院</t>
  </si>
  <si>
    <t>おぐら小児科</t>
  </si>
  <si>
    <t>四季が丘クリニック</t>
  </si>
  <si>
    <t>医療法人社団薫風会　横山病院</t>
  </si>
  <si>
    <t>高橋内科クリニック</t>
  </si>
  <si>
    <t>片山医院</t>
  </si>
  <si>
    <t>介護医療院ナーシングホームふれあい</t>
  </si>
  <si>
    <t>医療法人緑風会　邦友クリニック</t>
  </si>
  <si>
    <t>医療法人社団樹良会　高亀医院</t>
  </si>
  <si>
    <t>医療法人信英会　島谷病院</t>
  </si>
  <si>
    <t>医療法人社団正仁会　村上内科循環器科医院</t>
  </si>
  <si>
    <t>呉みどりヶ丘病院</t>
  </si>
  <si>
    <t>医療法人社団野間クリニック</t>
  </si>
  <si>
    <t>総合病院庄原赤十字病院</t>
  </si>
  <si>
    <t>門田歯科医院</t>
  </si>
  <si>
    <t>高美中央クリニック</t>
  </si>
  <si>
    <t>福山市沼隈町草深1711</t>
  </si>
  <si>
    <t>木阪病院</t>
  </si>
  <si>
    <t>医療法人佐々木内科・呼吸器科クリニック</t>
  </si>
  <si>
    <t>医療法人社団浜中皮ふ科クリニック</t>
  </si>
  <si>
    <t>医療法人TakuYu会　岸槌医院</t>
  </si>
  <si>
    <t>医療法人清和会荒谷医院</t>
  </si>
  <si>
    <t>益田眼科</t>
  </si>
  <si>
    <t>医療法人ゆみば子どもクリニック</t>
  </si>
  <si>
    <t>すくすくキッズクリニック</t>
  </si>
  <si>
    <t>医療法人社団黎明会　さくらの丘クリニック</t>
  </si>
  <si>
    <t>なす眼科クリニック</t>
  </si>
  <si>
    <t>渡辺小児科循環器科クリニック</t>
  </si>
  <si>
    <t>医療法人かどます　佐々木医院</t>
  </si>
  <si>
    <t>尾道市高須町2694</t>
  </si>
  <si>
    <t>わたなべクリニック</t>
  </si>
  <si>
    <t>進藤内科循環器科医院</t>
  </si>
  <si>
    <t>東広島記念病院</t>
  </si>
  <si>
    <t>医療法人社団森川内科医院</t>
  </si>
  <si>
    <t>日下医院</t>
  </si>
  <si>
    <t>周治ファミリークリニック</t>
  </si>
  <si>
    <t>高松歯科医院</t>
  </si>
  <si>
    <t>大田整形外科おおた内科</t>
  </si>
  <si>
    <t>医療法人社団仁徳会　宮原通りクリニック</t>
  </si>
  <si>
    <t>医療法人円山医院</t>
  </si>
  <si>
    <t>奈良井眼科</t>
  </si>
  <si>
    <t>松田整形外科</t>
  </si>
  <si>
    <t>桂歯科医院</t>
  </si>
  <si>
    <t>橘髙クリニック</t>
  </si>
  <si>
    <t>医療法人社団　加美川クリニック</t>
  </si>
  <si>
    <t>明神町リハ・整形クリニック</t>
  </si>
  <si>
    <t>医療法人エム・エム会　クリニック広島健診</t>
  </si>
  <si>
    <t>東川耳鼻咽喉科医院</t>
  </si>
  <si>
    <t>医療法人社団錦織眼科医院</t>
  </si>
  <si>
    <t>山尾医院</t>
  </si>
  <si>
    <t>医療法人かわの内科胃腸科</t>
  </si>
  <si>
    <t>医療法人宇田内科リウマチ科</t>
  </si>
  <si>
    <t>きたむら内科クリニック</t>
  </si>
  <si>
    <t>呉中央クリニック整形外科</t>
  </si>
  <si>
    <t>いぐちクリニック</t>
  </si>
  <si>
    <t>医療法人社団有信会　呉記念クリニック</t>
  </si>
  <si>
    <t>医療法人仁光会　日谷眼科</t>
  </si>
  <si>
    <t>医療法人エフシーふじい内科循環器科</t>
  </si>
  <si>
    <t>医療法人社団法宗会　法宗医院</t>
  </si>
  <si>
    <t>沼南医院</t>
  </si>
  <si>
    <t>うえだ皮膚科</t>
  </si>
  <si>
    <t>後藤泌尿器科医院</t>
  </si>
  <si>
    <t>きむら内科消化器科クリニック</t>
  </si>
  <si>
    <t>医療法人社団堀内医院</t>
  </si>
  <si>
    <t>福山市駅家町向永谷302</t>
  </si>
  <si>
    <t>ソレイユ眼科・矯正歯科</t>
  </si>
  <si>
    <t>住元整形外科医院</t>
  </si>
  <si>
    <t>姫野内科医院</t>
  </si>
  <si>
    <t>医療法人香会　岡村医院</t>
  </si>
  <si>
    <t>土本内科消化器科医院</t>
  </si>
  <si>
    <t>医療法人心友会　下原循環器内科クリニック</t>
  </si>
  <si>
    <t>公立下蒲刈病院</t>
  </si>
  <si>
    <t>佐々木医院</t>
  </si>
  <si>
    <t>はやし整形外科クリニック</t>
  </si>
  <si>
    <t>はまもと内科クリニック</t>
  </si>
  <si>
    <t>むらい内科クリニック</t>
  </si>
  <si>
    <t>いわた耳鼻咽喉科クリニック</t>
  </si>
  <si>
    <t>碓井サテライトクリニック</t>
  </si>
  <si>
    <t>佐々木歯科医院</t>
  </si>
  <si>
    <t>医療法人社団生和会　呉やけやま病院</t>
  </si>
  <si>
    <t>国家公務員共済組合連合会　呉共済病院忠海分院</t>
  </si>
  <si>
    <t>医療法人萌樹会　松井内科</t>
  </si>
  <si>
    <t>医療法人社団湯浅内科</t>
  </si>
  <si>
    <t>尾道市因島土生町331</t>
  </si>
  <si>
    <t>こどもクリニックさとう</t>
  </si>
  <si>
    <t>呉市国民健康保険音戸診療所</t>
  </si>
  <si>
    <t>呉市国民健康保険安浦診療所</t>
  </si>
  <si>
    <t>呉整形外科クリニック</t>
  </si>
  <si>
    <t>坪井クリニック</t>
  </si>
  <si>
    <t>三上クリニック</t>
  </si>
  <si>
    <t>かじまクリニック</t>
  </si>
  <si>
    <t>医療法人社団生康会　谷本メディカルクリニック</t>
  </si>
  <si>
    <t>安芸太田戸河内診療所</t>
  </si>
  <si>
    <t>医療法人社団有信会　呉記念病院（歯科）</t>
  </si>
  <si>
    <t>医療法人社団スマイル　クレア焼山クリニック</t>
  </si>
  <si>
    <t>安芸太田病院介護医療院</t>
  </si>
  <si>
    <t>医療法人ささき皮膚科</t>
  </si>
  <si>
    <t>富永内科</t>
  </si>
  <si>
    <t>医療法人社団みやもり医院</t>
  </si>
  <si>
    <t>にし耳鼻咽喉科クリニック</t>
  </si>
  <si>
    <t>森皮ふ科アレルギー科</t>
  </si>
  <si>
    <t>福山市松永町350</t>
  </si>
  <si>
    <t>たまき整形外科</t>
  </si>
  <si>
    <t>広岡整形外科</t>
  </si>
  <si>
    <t>谷医院</t>
  </si>
  <si>
    <t>医療法人社団スマイル　博愛クリニック</t>
  </si>
  <si>
    <t>くるしま内科循環器クリニック</t>
  </si>
  <si>
    <t>心療内科　村岡クリニック</t>
  </si>
  <si>
    <t>医療法人社団佐々木クリニック</t>
  </si>
  <si>
    <t>尾道市高須町735</t>
  </si>
  <si>
    <t>福山市駅家町近田121</t>
  </si>
  <si>
    <t>医療法人社団悠仁会　後藤病院</t>
  </si>
  <si>
    <t>地方独立行政法人府中市病院機構　府中北市民病院</t>
  </si>
  <si>
    <t>アマノリハビリテーション病院</t>
  </si>
  <si>
    <t>もちづき皮ふ科アレルギー科</t>
  </si>
  <si>
    <t>医療法人社団しげもと歯科クリニック</t>
  </si>
  <si>
    <t>えたじま幸田医院</t>
  </si>
  <si>
    <t>クリニックほほえみ呉</t>
  </si>
  <si>
    <t>福山医療生活協同組合　ふれあい診療所</t>
  </si>
  <si>
    <t>やすもとクリニック</t>
  </si>
  <si>
    <t>医療法人社団なかしお内科クリニック</t>
  </si>
  <si>
    <t>府中市高木町402</t>
  </si>
  <si>
    <t>もりや小児科クリニック</t>
  </si>
  <si>
    <t>よしうら診療所</t>
  </si>
  <si>
    <t>医療法人穗の香いのうえ内科</t>
  </si>
  <si>
    <t>医療法人社団重松会　松本病院</t>
  </si>
  <si>
    <t>デンタルクリニックパステル</t>
  </si>
  <si>
    <t>庄原市総領町下領家71</t>
  </si>
  <si>
    <t>三次市国民健康保険君田診療所</t>
  </si>
  <si>
    <t>医療法人社団湧泉会　ひまわり歯科</t>
  </si>
  <si>
    <t>医療法人秋本クリニック</t>
  </si>
  <si>
    <t>医療法人瑠璃光会　山田脳神経外科</t>
  </si>
  <si>
    <t>重症心身障害児施設ときわ呉</t>
  </si>
  <si>
    <t>田辺クリニック</t>
  </si>
  <si>
    <t>竹原市竹原町3554</t>
  </si>
  <si>
    <t>中央内科クリニック</t>
  </si>
  <si>
    <t>医療法人社団みやの耳鼻咽喉科</t>
  </si>
  <si>
    <t>医療法人社団国原医院</t>
  </si>
  <si>
    <t>青景医院</t>
  </si>
  <si>
    <t>医療法人双藤会　産科・婦人科　藤東クリニック</t>
  </si>
  <si>
    <t>浜田内科泌尿器科</t>
  </si>
  <si>
    <t>ひろまち眼科</t>
  </si>
  <si>
    <t>こだま泌尿器科クリニック</t>
  </si>
  <si>
    <t>医療法人社団生康会　谷本医院</t>
  </si>
  <si>
    <t>堀川レディースクリニック</t>
  </si>
  <si>
    <t>小早川クリニック心療内科</t>
  </si>
  <si>
    <t>網本内科消化器科医院</t>
  </si>
  <si>
    <t>安芸高田市向原町坂297</t>
  </si>
  <si>
    <t>城原胃腸科整形外科</t>
  </si>
  <si>
    <t>医療法人社団浅野内科医院</t>
  </si>
  <si>
    <t>医療法人社団たむら眼科</t>
  </si>
  <si>
    <t>尾道市立市民病院</t>
  </si>
  <si>
    <t>尾道市因島重井町6309</t>
  </si>
  <si>
    <t>医療法人社団石泌尿器科医院</t>
  </si>
  <si>
    <t>かわもと心臓内科クリニック</t>
  </si>
  <si>
    <t>医療法人社団正和会　松下クリニック</t>
  </si>
  <si>
    <t>河田歯科医院</t>
  </si>
  <si>
    <t>ファミリー歯科クリニック</t>
  </si>
  <si>
    <t>医療法人社団小山田内科医院</t>
  </si>
  <si>
    <t>今福内科クリニック</t>
  </si>
  <si>
    <t>よしだ歯科</t>
  </si>
  <si>
    <t>医療法人社団仁慈会　安田病院</t>
  </si>
  <si>
    <t>医療法人社団ひかり会　木村眼科内科病院</t>
  </si>
  <si>
    <t>医療法人志和医院</t>
  </si>
  <si>
    <t>医療法人児玉医院</t>
  </si>
  <si>
    <t>福山整形外科クリニック</t>
  </si>
  <si>
    <t>医療法人静和会　みはら内科クリニック</t>
  </si>
  <si>
    <t>医療法人社団貴和会　佐伯中央介護医療院</t>
  </si>
  <si>
    <t>くぼファミリークリニック</t>
  </si>
  <si>
    <t>大原内科循環器科</t>
  </si>
  <si>
    <t>医療法人社団河本内科クリニック</t>
  </si>
  <si>
    <t>三原市医師会　休日夜間急患診療所</t>
  </si>
  <si>
    <t>つるが眼科</t>
  </si>
  <si>
    <t>三原市小泉町4245</t>
  </si>
  <si>
    <t>きむら耳鼻咽喉科クリニック</t>
  </si>
  <si>
    <t>医療法人優心会　児玉医院</t>
  </si>
  <si>
    <t>上田内科</t>
  </si>
  <si>
    <t>医療法人松尾内科・循環器内科クリニック</t>
  </si>
  <si>
    <t>しいはらクリニック</t>
  </si>
  <si>
    <t>大和診療所</t>
  </si>
  <si>
    <t>勝谷・小笠原クリニック</t>
  </si>
  <si>
    <t>永原内科クリニック</t>
  </si>
  <si>
    <t>たなべ内科クリニック</t>
  </si>
  <si>
    <t>内海町いちかわ診療所</t>
  </si>
  <si>
    <t>医療法人社団慈久会　はまだ歯科医院</t>
  </si>
  <si>
    <t>いとう腎・泌尿器科クリニック</t>
  </si>
  <si>
    <t>池田響子ハートクリニック</t>
  </si>
  <si>
    <t>医療法人社団吉久会　松永脳外科クリニック</t>
  </si>
  <si>
    <t>こころのクリニックこかげ</t>
  </si>
  <si>
    <t>医療法人弘仁会　大田歯科医院</t>
  </si>
  <si>
    <t>くまさ歯科医院</t>
  </si>
  <si>
    <t>医療法人社団恵仁会　福田内科小児科</t>
  </si>
  <si>
    <t>志田原歯科小児歯科医院</t>
  </si>
  <si>
    <t>のぞみ整形外科クリニック西条</t>
  </si>
  <si>
    <t>医療法人社団真善会梅田クリニック</t>
  </si>
  <si>
    <t>福山市駅家町万能倉347</t>
  </si>
  <si>
    <t>医療法人楽生会　馬場病院</t>
  </si>
  <si>
    <t>医療法人社団博施会　堀田歯科医院</t>
  </si>
  <si>
    <t>竹原市下野町1744</t>
  </si>
  <si>
    <t>とくも胃腸科皮ふ科</t>
  </si>
  <si>
    <t>医療法人白根耳鼻咽喉科</t>
  </si>
  <si>
    <t>医療法人森田会　森田歯科医院</t>
  </si>
  <si>
    <t>医療法人社団永楽会　おかはし内科医院</t>
  </si>
  <si>
    <t>医療法人かわの医院</t>
  </si>
  <si>
    <t>医療法人宏慈会　桑原内科循環器科医院</t>
  </si>
  <si>
    <t>板阪内科小児科医院</t>
  </si>
  <si>
    <t>なんば内科クリニック</t>
  </si>
  <si>
    <t>しんがい内科・循環器科　沼南クリニック</t>
  </si>
  <si>
    <t>竹原市下野町3136</t>
  </si>
  <si>
    <t>むつかど内科呼吸器科</t>
  </si>
  <si>
    <t>佐藤内科クリニック</t>
  </si>
  <si>
    <t>水永リハビリテーション病院</t>
  </si>
  <si>
    <t>市立三次中央病院</t>
  </si>
  <si>
    <t>医療法人社団まこと会　神辺内科医院</t>
  </si>
  <si>
    <t>竹原市竹原町3643</t>
  </si>
  <si>
    <t>いなだ歯科医院</t>
  </si>
  <si>
    <t>医療法人社団健生会　いそだ病院</t>
  </si>
  <si>
    <t>医療法人仁康会　小泉病院</t>
  </si>
  <si>
    <t>医療法人社団伸寿会　高須クリニック</t>
  </si>
  <si>
    <t>三原城町病院</t>
  </si>
  <si>
    <t>医療法人ハンス　宮内総合クリニック</t>
  </si>
  <si>
    <t>小川矯正歯科</t>
  </si>
  <si>
    <t>東広島市西条町御薗宇4405</t>
  </si>
  <si>
    <t>川西医院</t>
  </si>
  <si>
    <t>医療法人大慈会　三原病院</t>
  </si>
  <si>
    <t>福山市駅家町法成寺108</t>
  </si>
  <si>
    <t>秋本歯科医院</t>
  </si>
  <si>
    <t>医療法人健仁会　西村内科医院</t>
  </si>
  <si>
    <t>山県郡北広島町有田1192</t>
  </si>
  <si>
    <t>医療法人つぼい医院</t>
  </si>
  <si>
    <t>医療法人賢仁会　松岡病院</t>
  </si>
  <si>
    <t>医療法人杏仁会　松尾内科病院</t>
  </si>
  <si>
    <t>三原市医師会　三原市医師会病院</t>
  </si>
  <si>
    <t>医療法人社団清康会宮地クリニック</t>
  </si>
  <si>
    <t>越智眼科</t>
  </si>
  <si>
    <t>広島県公立大学法人　県立広島大学保健福祉学部附属診療所</t>
  </si>
  <si>
    <t>徳久歯科医院</t>
  </si>
  <si>
    <t>医療法人社団河野眼科</t>
  </si>
  <si>
    <t>医療法人翠聖会　小林内科クリニック</t>
  </si>
  <si>
    <t>医療法人社団杏善会　初鹿内科医院分院</t>
  </si>
  <si>
    <t>医療法人社団三木耳鼻咽喉科医院</t>
  </si>
  <si>
    <t>おかざき脳神経クリニック</t>
  </si>
  <si>
    <t>尾道市立市民病院附属瀬戸田診療所</t>
  </si>
  <si>
    <t>医療法人徹慈会　堀病院</t>
  </si>
  <si>
    <t>医療法人社団三康会　得能クリニック</t>
  </si>
  <si>
    <t>つぼいクリニック泌尿器科内科</t>
  </si>
  <si>
    <t>あさだ内科</t>
  </si>
  <si>
    <t>豊田内科医院</t>
  </si>
  <si>
    <t>まつなが眼科</t>
  </si>
  <si>
    <t>かじやま内科循環器科</t>
  </si>
  <si>
    <t>医療法人たかば内科医院</t>
  </si>
  <si>
    <t>三次市甲奴歯科診療所</t>
  </si>
  <si>
    <t>医療法人SEO　瀬尾医院</t>
  </si>
  <si>
    <t>エトワール歯科</t>
  </si>
  <si>
    <t>医療法人たなか医院</t>
  </si>
  <si>
    <t>医療法人白須整形外科クリニック</t>
  </si>
  <si>
    <t>医療法人社団峰良会　二木歯科医院</t>
  </si>
  <si>
    <t>社会医療法人里仁会　興生総合病院</t>
  </si>
  <si>
    <t>こころ尾道駅前クリニック</t>
  </si>
  <si>
    <t>医療法人辰川会　山陽病院</t>
  </si>
  <si>
    <t>医療法人社団仁友会　尾道クリニック</t>
  </si>
  <si>
    <t>福島眼科クリニック</t>
  </si>
  <si>
    <t>しまなみ皮ふ科</t>
  </si>
  <si>
    <t>しげまさ歯科</t>
  </si>
  <si>
    <t>かめよし皮ふ科・アレルギー科</t>
  </si>
  <si>
    <t>医療法人社団いしねファミリークリニック</t>
  </si>
  <si>
    <t>医療法人マイビー　まつなが産科婦人科</t>
  </si>
  <si>
    <t>桑原歯科医院</t>
  </si>
  <si>
    <t>医療法人小園内科・循環器科</t>
  </si>
  <si>
    <t>一般財団法人広島結核予防協会　住吉浜病院</t>
  </si>
  <si>
    <t>医療法人土本医院　土本ファミリークリニック</t>
  </si>
  <si>
    <t>医療法人リーベリー　木原こどもクリニック</t>
  </si>
  <si>
    <t>佐木島診療所</t>
  </si>
  <si>
    <t>こやま整形外科・内科クリニック</t>
  </si>
  <si>
    <t>下山記念クリニック</t>
  </si>
  <si>
    <t>柳津にしきおり眼科</t>
  </si>
  <si>
    <t>中林整形外科クリニック</t>
  </si>
  <si>
    <t>社会医療法人里仁会　白龍湖クリニック</t>
  </si>
  <si>
    <t>のじまホームクリニック</t>
  </si>
  <si>
    <t>西条プラザ歯科</t>
  </si>
  <si>
    <t>ふるかわ耳鼻咽喉科</t>
  </si>
  <si>
    <t>医療法人社団花房眼科医院</t>
  </si>
  <si>
    <t>医療法人髙橋医院</t>
  </si>
  <si>
    <t>ファミリア歯科</t>
  </si>
  <si>
    <t>医療法人社団長谷川産婦人科</t>
  </si>
  <si>
    <t>谷口ハートクリニック</t>
  </si>
  <si>
    <t>医療法人社団杏愛会　高橋医院</t>
  </si>
  <si>
    <t>たけこし歯科クリニック</t>
  </si>
  <si>
    <t>医療法人社団藤井医院</t>
  </si>
  <si>
    <t>医療法人社団杏佑会　笠井病院</t>
  </si>
  <si>
    <t>福山市芦田町下有地986</t>
  </si>
  <si>
    <t>福原内科医院</t>
  </si>
  <si>
    <t>医療法人社団神田会　木曽病院</t>
  </si>
  <si>
    <t>医療法人社団博典会　檀上医院</t>
  </si>
  <si>
    <t>医療法人社団片岡歯科医院</t>
  </si>
  <si>
    <t>おかだ（外科・内科）医院</t>
  </si>
  <si>
    <t>米田耳鼻咽喉科クリニック</t>
  </si>
  <si>
    <t>独立行政法人国立病院機構　東広島医療センター</t>
  </si>
  <si>
    <t>医療法人社団住幸会　弓場医院</t>
  </si>
  <si>
    <t>矢野歯科医院</t>
  </si>
  <si>
    <t>医療法人社団啓卯会　村上記念病院</t>
  </si>
  <si>
    <t>はまもと皮ふ科</t>
  </si>
  <si>
    <t>医療法人ささき小児科医院</t>
  </si>
  <si>
    <t>福山元町眼科</t>
  </si>
  <si>
    <t>尾道市浦崎町2723</t>
  </si>
  <si>
    <t>医療法人社団平櫛内科医院</t>
  </si>
  <si>
    <t>医療法人久山内科医院</t>
  </si>
  <si>
    <t>医療法人医心会　数田皮膚科医院</t>
  </si>
  <si>
    <t>医療法人じけ駅前内科・糖尿病内科クリニック</t>
  </si>
  <si>
    <t>上野整形外科</t>
  </si>
  <si>
    <t>庄原市立西城市民病院（歯科）</t>
  </si>
  <si>
    <t>尾道市美ノ郷町白江597</t>
  </si>
  <si>
    <t>医療法人向田内科医院</t>
  </si>
  <si>
    <t>芙蓉会鍋島内科</t>
  </si>
  <si>
    <t>福山市赤坂町早戸1470</t>
  </si>
  <si>
    <t>尾道市美ノ郷町三成2675</t>
  </si>
  <si>
    <t>灘田歯科医院</t>
  </si>
  <si>
    <t>医療法人社団精彩会　土橋内科医院</t>
  </si>
  <si>
    <t>さかの小児科</t>
  </si>
  <si>
    <t>原田内科クリニック</t>
  </si>
  <si>
    <t>医療法人光耀会　岩﨑整形外科</t>
  </si>
  <si>
    <t>医療法人豊永会　小林医院</t>
  </si>
  <si>
    <t>よしはら内科外科リハビリテーションクリニック</t>
  </si>
  <si>
    <t>スマイル・デンタル・クリニック</t>
  </si>
  <si>
    <t>医療法人社団藤本外科胃腸科肛門科クリニック</t>
  </si>
  <si>
    <t>東広島市西条町土与丸1235</t>
  </si>
  <si>
    <t>ちくいえクリニック</t>
  </si>
  <si>
    <t>ふじもり医院</t>
  </si>
  <si>
    <t>医療法人社団砂田内科</t>
  </si>
  <si>
    <t>神田ファミリークリニック</t>
  </si>
  <si>
    <t>医療法人一香会　宇根クリニック</t>
  </si>
  <si>
    <t>正岡クリニック</t>
  </si>
  <si>
    <t>医療法人社団広畑内科　広畑内科・もり皮膚科</t>
  </si>
  <si>
    <t>くさか整形外科</t>
  </si>
  <si>
    <t>医療法人社団坂上整形外科クリニック</t>
  </si>
  <si>
    <t>田中メディカルクリニック</t>
  </si>
  <si>
    <t>医療法人大森整形外科</t>
  </si>
  <si>
    <t>医療法人ゆあさ眼科</t>
  </si>
  <si>
    <t>メディカルカウンセリングルーム本田クリニック</t>
  </si>
  <si>
    <t>東広島市西条町御薗宇703</t>
  </si>
  <si>
    <t>医療法人社団二階堂眼科</t>
  </si>
  <si>
    <t>医療法人芳仁会　ひとみ眼科</t>
  </si>
  <si>
    <t>神原こうじクリニック</t>
  </si>
  <si>
    <t>尾道市浦崎町2746</t>
  </si>
  <si>
    <t>にしえクリニック</t>
  </si>
  <si>
    <t>タケダ歯科医院</t>
  </si>
  <si>
    <t>公立みつぎ総合病院</t>
  </si>
  <si>
    <t>公立みつぎ総合病院保健福祉総合施設附属リハビリテーションセンター</t>
  </si>
  <si>
    <t>庄原市立西城市民病院</t>
  </si>
  <si>
    <t>尾道市因島中庄町4934</t>
  </si>
  <si>
    <t>呉口腔保健センター</t>
  </si>
  <si>
    <t>尾道市瀬戸田町中野400</t>
  </si>
  <si>
    <t>尾道市瀬戸田町瀬戸田346</t>
  </si>
  <si>
    <t>広島県厚生農業協同組合連合会　尾道総合病院</t>
  </si>
  <si>
    <t>岡田歯科医院</t>
  </si>
  <si>
    <t>医療法人財団竹政会　福山循環器病院</t>
  </si>
  <si>
    <t>仁愛内科クリニック</t>
  </si>
  <si>
    <t>医療法人社団天風会　益田眼科小児科医院</t>
  </si>
  <si>
    <t>尾道市因島土生町2021</t>
  </si>
  <si>
    <t>尾道市百島町972</t>
  </si>
  <si>
    <t>医療法人社団幸の鳥レディスクリニック</t>
  </si>
  <si>
    <t>山本医院</t>
  </si>
  <si>
    <t>内科・腎臓内科かつたにクリニック</t>
  </si>
  <si>
    <t>医療法人社団藤本会　藤本医院</t>
  </si>
  <si>
    <t>こじまクリニック</t>
  </si>
  <si>
    <t>往診歯科おだ</t>
  </si>
  <si>
    <t>医療法人社団涼風会　佐藤脳神経外科</t>
  </si>
  <si>
    <t>丸谷循環器科内科医院</t>
  </si>
  <si>
    <t>百島診療所</t>
  </si>
  <si>
    <t>医療法人汐仁会　橘高内科小児科医院</t>
  </si>
  <si>
    <t>医療法人高橋眼科</t>
  </si>
  <si>
    <t>山本病院</t>
  </si>
  <si>
    <t>森岡医院</t>
  </si>
  <si>
    <t>平原クリニック</t>
  </si>
  <si>
    <t>こばやし眼科</t>
  </si>
  <si>
    <t>医療法人壽邦会　深江長坂医院</t>
  </si>
  <si>
    <t>小松クリニック</t>
  </si>
  <si>
    <t>医療法人慈生会　前原病院</t>
  </si>
  <si>
    <t>水口医院</t>
  </si>
  <si>
    <t>医療法人節和会　三好眼科</t>
  </si>
  <si>
    <t>カナデビア健康保険組合　因島総合病院</t>
  </si>
  <si>
    <t>重河眼科御薗クリニック</t>
  </si>
  <si>
    <t>尾道市因島土生町2561</t>
  </si>
  <si>
    <t>せきとう内科消化器科クリニック</t>
  </si>
  <si>
    <t>東広島整形外科クリニック</t>
  </si>
  <si>
    <t>神石高原町立病院</t>
  </si>
  <si>
    <t>医療法人社団ひまわり会　小川内科胃腸科</t>
  </si>
  <si>
    <t>医療法人社団青影会　三宅医院</t>
  </si>
  <si>
    <t>医療法人社団巻幡内科循環器科</t>
  </si>
  <si>
    <t>医療法人社団いなほ会　せら医院</t>
  </si>
  <si>
    <t>鈴木内科医院</t>
  </si>
  <si>
    <t>大岡耳鼻咽喉科医院</t>
  </si>
  <si>
    <t>川本歯科医院</t>
  </si>
  <si>
    <t>医療法人社団中郷クリニック　東生口診療所</t>
  </si>
  <si>
    <t>医療法人まが医院</t>
  </si>
  <si>
    <t>医療法人村上会　福山回生病院</t>
  </si>
  <si>
    <t>医療法人社団大仁会　大石病院</t>
  </si>
  <si>
    <t>平田内科小児科医院</t>
  </si>
  <si>
    <t>医療法人社団仁正会　ざおう眼科</t>
  </si>
  <si>
    <t>佐々木内科糖尿病クリニック</t>
  </si>
  <si>
    <t>医療法人なぎさ　上野整形外科・リハビリ科</t>
  </si>
  <si>
    <t>ふじさわ内科</t>
  </si>
  <si>
    <t>医療法人すこやか会　森近内科</t>
  </si>
  <si>
    <t>西条中央病院</t>
  </si>
  <si>
    <t>医療法人社団裕仁会　斉藤脳外科クリニック</t>
  </si>
  <si>
    <t>医療法人廿日市松本クリニック</t>
  </si>
  <si>
    <t>庄原市西城町中野1339</t>
  </si>
  <si>
    <t>板崎外科・整形外科</t>
  </si>
  <si>
    <t>土屋内科医院</t>
  </si>
  <si>
    <t>石井歯科クリニック</t>
  </si>
  <si>
    <t>太田形成外科クリニック</t>
  </si>
  <si>
    <t>あさみ歯科医院</t>
  </si>
  <si>
    <t>医療法人社団日野ホームクリニック</t>
  </si>
  <si>
    <t>医療法人こどもクリニックはぐくみ</t>
  </si>
  <si>
    <t>福山市赤坂町赤坂1313</t>
  </si>
  <si>
    <t>医療法人徹慈会　東手城クリニック</t>
  </si>
  <si>
    <t>二神歯科医院</t>
  </si>
  <si>
    <t>向田医院</t>
  </si>
  <si>
    <t>医療法人社団敬明会　佐藤胃腸科医院</t>
  </si>
  <si>
    <t>公立学校共済組合　中国中央病院</t>
  </si>
  <si>
    <t>福山市民病院</t>
  </si>
  <si>
    <t>安芸高田市吉田町吉田770</t>
  </si>
  <si>
    <t>奥坊クリニック</t>
  </si>
  <si>
    <t>若林医院</t>
  </si>
  <si>
    <t>広島県厚生農業協同組合連合会　広島総合病院</t>
  </si>
  <si>
    <t>川崎医院</t>
  </si>
  <si>
    <t>医療法人紅萌会　福山記念病院</t>
  </si>
  <si>
    <t>白木歯科医院</t>
  </si>
  <si>
    <t>医療法人香和会　ちえ内科クリニック</t>
  </si>
  <si>
    <t>医療法人社団敬友会　卜部耳鼻咽喉科医院</t>
  </si>
  <si>
    <t>ひろおか医院</t>
  </si>
  <si>
    <t>医療法人社団木村耳鼻咽喉科</t>
  </si>
  <si>
    <t>しまだファミリークリニック</t>
  </si>
  <si>
    <t>公立みつぎ総合病院（歯科）</t>
  </si>
  <si>
    <t>医療法人誠和会　クボ歯科クリニック</t>
  </si>
  <si>
    <t>医療法人社団上原医院</t>
  </si>
  <si>
    <t>びんご歯科クリニック</t>
  </si>
  <si>
    <t>尾道市立市民病院（歯科）</t>
  </si>
  <si>
    <t>医療法人社団田川内科医院</t>
  </si>
  <si>
    <t>医療法人見水会　福山クリニック</t>
  </si>
  <si>
    <t>医療法人庄原眼科</t>
  </si>
  <si>
    <t>広島県立福山若草園</t>
  </si>
  <si>
    <t>医療法人まこと会　クリニック和田</t>
  </si>
  <si>
    <t>医療法人社団城山会　石井内科</t>
  </si>
  <si>
    <t>医療法人社団清流会　双樹クリニック</t>
  </si>
  <si>
    <t>福山市大門町津之下1844</t>
  </si>
  <si>
    <t>医療法人社団こうろ皮ふ科</t>
  </si>
  <si>
    <t>独立行政法人国立病院機構　呉医療センター</t>
  </si>
  <si>
    <t>となりのクリニック</t>
  </si>
  <si>
    <t>明神館クリニック</t>
  </si>
  <si>
    <t>医療法人緑誠会　光の丘病院</t>
  </si>
  <si>
    <t>医療法人社団南坊　南坊井上内科循環器科医院</t>
  </si>
  <si>
    <t>医療法人福徳永会　さいきじんクリニック</t>
  </si>
  <si>
    <t>今村メモリアルクリニック</t>
  </si>
  <si>
    <t>庄原同仁病院</t>
  </si>
  <si>
    <t>医療法人社団玄同会　小畠病院</t>
  </si>
  <si>
    <t>医療法人社団文理会　庵谷内科循環器科</t>
  </si>
  <si>
    <t>福山市駅家町上山守203</t>
  </si>
  <si>
    <t>医療法人社団豊会　タカタ内科胃腸科</t>
  </si>
  <si>
    <t>かねだ歯科医院</t>
  </si>
  <si>
    <t>医療法人社団潤会　宮崎胃腸科放射線科内科医院</t>
  </si>
  <si>
    <t>医療法人まさよし会　児玉クリニック</t>
  </si>
  <si>
    <t>医療法人社団卜部医院　うらべ医院</t>
  </si>
  <si>
    <t>むらた皮膚科クリニック</t>
  </si>
  <si>
    <t>フェローデンタルクリニック西条</t>
  </si>
  <si>
    <t>医療法人叙叙会　福山第一病院</t>
  </si>
  <si>
    <t>かわはらこどもクリニック</t>
  </si>
  <si>
    <t>下永病院</t>
  </si>
  <si>
    <t>高橋歯科・整形外科</t>
  </si>
  <si>
    <t>西福山病院</t>
  </si>
  <si>
    <t>公立世羅中央病院</t>
  </si>
  <si>
    <t>医療法人社団仁正会　おかの眼科</t>
  </si>
  <si>
    <t>福山医療生活協同組合　城北診療所</t>
  </si>
  <si>
    <t>医療法人社団こどもクリニック八本松</t>
  </si>
  <si>
    <t>こさこ皮ふ科クリニック</t>
  </si>
  <si>
    <t>藤井整形形成外科医院</t>
  </si>
  <si>
    <t>高屋よろず内科クリニック</t>
  </si>
  <si>
    <t>小山整形外科医院</t>
  </si>
  <si>
    <t>医療法人社団健朗会　石原内科胃腸科</t>
  </si>
  <si>
    <t>安芸高田市吉田町吉田3799</t>
  </si>
  <si>
    <t>黒瀬クリニック</t>
  </si>
  <si>
    <t>医療法人社団健照会　住吉ふじい病院</t>
  </si>
  <si>
    <t>医療法人社団葵会　本永病院</t>
  </si>
  <si>
    <t>アルファデンタルオフィス</t>
  </si>
  <si>
    <t>石藤クリニック</t>
  </si>
  <si>
    <t>黒木眼科医院</t>
  </si>
  <si>
    <t>医療法人蒼生会　楠本病院</t>
  </si>
  <si>
    <t>村井内科クリニック</t>
  </si>
  <si>
    <t>医療法人社団啓仁会　中村外科胃腸科医院</t>
  </si>
  <si>
    <t>上重歯科医院</t>
  </si>
  <si>
    <t>医療法人社団信誠会　中村整形外科</t>
  </si>
  <si>
    <t>IKEDA DENTAL CLINIC</t>
  </si>
  <si>
    <t>医療法人辰川会　山陽腎クリニック</t>
  </si>
  <si>
    <t>これなが歯科医院</t>
  </si>
  <si>
    <t>みぞて眼科</t>
  </si>
  <si>
    <t>いやさか腎クリニック</t>
  </si>
  <si>
    <t>三次市作木町下作木1503</t>
  </si>
  <si>
    <t>沖野上クリニック</t>
  </si>
  <si>
    <t>広島県厚生農業協同組合連合会　尾道総合病院（歯科）</t>
  </si>
  <si>
    <t>中川クリニック</t>
  </si>
  <si>
    <t>まつはまクリニック</t>
  </si>
  <si>
    <t>つまもと眼科</t>
  </si>
  <si>
    <t>医療法人たに内科クリニック</t>
  </si>
  <si>
    <t>医療法人社団光誠会　早志歯科診療所</t>
  </si>
  <si>
    <t>医療法人社団津村眼科医院</t>
  </si>
  <si>
    <t>和田胃腸科・皮膚科クリニック</t>
  </si>
  <si>
    <t>医療法人田渕皮膚科医院</t>
  </si>
  <si>
    <t>豊田郡大崎上島町沖浦1001</t>
  </si>
  <si>
    <t>たなべ小児科</t>
  </si>
  <si>
    <t>長外科胃腸科医院</t>
  </si>
  <si>
    <t>独立行政法人国立病院機構　賀茂精神医療センター（歯科）</t>
  </si>
  <si>
    <t>こじょう内科</t>
  </si>
  <si>
    <t>竹本内科循環器科</t>
  </si>
  <si>
    <t>医療法人社団春陽会　竹内耳鼻咽喉科</t>
  </si>
  <si>
    <t>大田トホーニヤ診療所</t>
  </si>
  <si>
    <t>戸田眼科　東広島クリニック</t>
  </si>
  <si>
    <t>上田循環器科内科</t>
  </si>
  <si>
    <t>日野内科小児科クリニック</t>
  </si>
  <si>
    <t>寺岡整形外科病院</t>
  </si>
  <si>
    <t>内藤クリニック</t>
  </si>
  <si>
    <t>佐々木内科クリニック</t>
  </si>
  <si>
    <t>よしおかホームクリニック</t>
  </si>
  <si>
    <t>医療法人社団藤田小児科内科医院</t>
  </si>
  <si>
    <t>みはら眼科</t>
  </si>
  <si>
    <t>医療法人社団みめぐみ会　サンクリニックみなが</t>
  </si>
  <si>
    <t>東広島市西条町寺家1633</t>
  </si>
  <si>
    <t>住井内科</t>
  </si>
  <si>
    <t>菊地内科</t>
  </si>
  <si>
    <t>岡田クリニック</t>
  </si>
  <si>
    <t>医療法人ふじえ　松山内科</t>
  </si>
  <si>
    <t>こばたけ医院</t>
  </si>
  <si>
    <t>医療法人社団秀由会　まつもりファミリークリニック</t>
  </si>
  <si>
    <t>深坂内科循環器科</t>
  </si>
  <si>
    <t>福富内科外科医院</t>
  </si>
  <si>
    <t>西町クリニック耳鼻咽喉科</t>
  </si>
  <si>
    <t>医療法人川口内科クリニック</t>
  </si>
  <si>
    <t>西条すこやか内科</t>
  </si>
  <si>
    <t>山下ケアクリニック</t>
  </si>
  <si>
    <t>医療法人よしたかクリニック</t>
  </si>
  <si>
    <t>いしおか医院</t>
  </si>
  <si>
    <t>たまやま歯科医院</t>
  </si>
  <si>
    <t>あいたに整形外科</t>
  </si>
  <si>
    <t>おんじ内科クリニック</t>
  </si>
  <si>
    <t>有木医院</t>
  </si>
  <si>
    <t>医療法人社団千心会　渡邉内科クリニック</t>
  </si>
  <si>
    <t>医療法人社団敬崇会　猪原［食べる］総合歯科医療クリニック</t>
  </si>
  <si>
    <t>三宅会グッドライフ病院</t>
  </si>
  <si>
    <t>やすだクリニック</t>
  </si>
  <si>
    <t>もりかわ内科クリニック</t>
  </si>
  <si>
    <t>こばやし歯科医院</t>
  </si>
  <si>
    <t>しげの整形外科スポーツクリニック</t>
  </si>
  <si>
    <t>市役所通りクリニック</t>
  </si>
  <si>
    <t>しだはらクリニック</t>
  </si>
  <si>
    <t>寺島歯科医院</t>
  </si>
  <si>
    <t>医療法人社団育伸会　なかよし小児科</t>
  </si>
  <si>
    <t>安芸高田市八千代町勝田448</t>
  </si>
  <si>
    <t>医療法人社団済井会　福山光南クリニック</t>
  </si>
  <si>
    <t>松永駅前クリニック</t>
  </si>
  <si>
    <t>政永内科・まさなが歯科クリニック</t>
  </si>
  <si>
    <t>多治米歯科</t>
  </si>
  <si>
    <t>医療法人辰川会　山陽ぬまくま腎クリニック</t>
  </si>
  <si>
    <t>医療法人岩崎皮ふ科・形成外科</t>
  </si>
  <si>
    <t>船町ふじおかクリニック</t>
  </si>
  <si>
    <t>医療法人徹慈会　耳鼻咽喉科東手城医院</t>
  </si>
  <si>
    <t>アイネス内科クリニック</t>
  </si>
  <si>
    <t>福山市神辺町川南1120</t>
  </si>
  <si>
    <t>安芸高田やちよクリニック</t>
  </si>
  <si>
    <t>花園クリニック</t>
  </si>
  <si>
    <t>医療法人K.F.会　青葉台クリニック</t>
  </si>
  <si>
    <t>社会福祉法人恩賜財団済生会支部広島県済生会　済生会広島病院</t>
  </si>
  <si>
    <t>わき小児科医院</t>
  </si>
  <si>
    <t>まつおか耳鼻咽喉科</t>
  </si>
  <si>
    <t>はらだ眼科</t>
  </si>
  <si>
    <t>坪島歯科診療所</t>
  </si>
  <si>
    <t>医療法人社団恵摂会　森田内科クリニック</t>
  </si>
  <si>
    <t>医療法人啓樹会　さとう脳外科クリニック</t>
  </si>
  <si>
    <t>一般財団法人広島結核予防協会　住吉浜病院附属大浦診療所</t>
  </si>
  <si>
    <t>医療法人紫苑会　ふじいクリニック</t>
  </si>
  <si>
    <t>フロンティア歯科クリニック</t>
  </si>
  <si>
    <t>田中医院</t>
  </si>
  <si>
    <t>山南クリニック</t>
  </si>
  <si>
    <t>福山市沼隈町中山南1387</t>
  </si>
  <si>
    <t>福山市沼隈町常石1083</t>
  </si>
  <si>
    <t>まるやまホームクリニック</t>
  </si>
  <si>
    <t>医療法人クオーレ　向洋駅前心療クリニック</t>
  </si>
  <si>
    <t>福山市水呑町4425</t>
  </si>
  <si>
    <t>みたに泌尿器科クリニック</t>
  </si>
  <si>
    <t>きらきらこどもクリニック</t>
  </si>
  <si>
    <t>医療法人社団親和会　やまと病院</t>
  </si>
  <si>
    <t>医療法人永元会　はしもとじんクリニック</t>
  </si>
  <si>
    <t>よしだレディースクリニック内科・小児科</t>
  </si>
  <si>
    <t>細川歯科医院</t>
  </si>
  <si>
    <t>うだ胃腸科内科外科クリニック</t>
  </si>
  <si>
    <t>藤野医院</t>
  </si>
  <si>
    <t>医療法人社団　ゆう耳鼻いんこう科クリニック</t>
  </si>
  <si>
    <t>里見歯科</t>
  </si>
  <si>
    <t>すわ整形外科スパインスポーツクリニック</t>
  </si>
  <si>
    <t>あをうめクリニック</t>
  </si>
  <si>
    <t>医療法人みやうち　廿日市野村病院</t>
  </si>
  <si>
    <t>医療法人社団生和会　福山リハビリテーション病院</t>
  </si>
  <si>
    <t>医療法人社団永慈会　永田内科医院</t>
  </si>
  <si>
    <t>いしい内科・糖尿病クリニック</t>
  </si>
  <si>
    <t>梶川歯科クリニック</t>
  </si>
  <si>
    <t>もりもと皮膚科クリニック</t>
  </si>
  <si>
    <t>菅眼科</t>
  </si>
  <si>
    <t>医療法人社団千心会　渡辺内科医院</t>
  </si>
  <si>
    <t>尾道市向島町14775</t>
  </si>
  <si>
    <t>中山眼科</t>
  </si>
  <si>
    <t>さくら眼科クリニック</t>
  </si>
  <si>
    <t>みやざわ内科</t>
  </si>
  <si>
    <t>医療法人財団竹政会　セントラル病院</t>
  </si>
  <si>
    <t>えきや外科クリニック</t>
  </si>
  <si>
    <t>やすはらこどもクリニック</t>
  </si>
  <si>
    <t>医療法人広蔵会　たなかクリニック</t>
  </si>
  <si>
    <t>かめだファミリークリニック</t>
  </si>
  <si>
    <t>医療法人社団向日葵会　角医院</t>
  </si>
  <si>
    <t>いまだ内科医院</t>
  </si>
  <si>
    <t>みかみホームクリニック</t>
  </si>
  <si>
    <t>東福山駅前クリニック</t>
  </si>
  <si>
    <t>徳永医院</t>
  </si>
  <si>
    <t>かたおか内科クリニック</t>
  </si>
  <si>
    <t>あけぼのペインクリニック</t>
  </si>
  <si>
    <t>福山かた・ひざ・こしのクリニック</t>
  </si>
  <si>
    <t>さとうファミリークリニック</t>
  </si>
  <si>
    <t>おおえ内科クリニック</t>
  </si>
  <si>
    <t>ちかもり内科医院</t>
  </si>
  <si>
    <t>ひろはた歯科医院</t>
  </si>
  <si>
    <t>医療法人微風会　三次神経内科クリニック花の里</t>
  </si>
  <si>
    <t>みよし耳鼻咽喉科</t>
  </si>
  <si>
    <t>東広島市西条町寺家7377</t>
  </si>
  <si>
    <t>みよし内科</t>
  </si>
  <si>
    <t>せきもとクリニック</t>
  </si>
  <si>
    <t>かんなべ整形外科</t>
  </si>
  <si>
    <t>医療法人大竹中央クリニック</t>
  </si>
  <si>
    <t>三好眼科 神辺新道上</t>
  </si>
  <si>
    <t>山本クリニック</t>
  </si>
  <si>
    <t>佐長内科クリニック</t>
  </si>
  <si>
    <t>鞆藤井医院</t>
  </si>
  <si>
    <t>福山南病院</t>
  </si>
  <si>
    <t>医療法人慈彗会　亀川病院</t>
  </si>
  <si>
    <t>上田耳鼻咽喉科医院</t>
  </si>
  <si>
    <t>医療法人社団寺家内科クリニック</t>
  </si>
  <si>
    <t>海田よつ葉クリニック</t>
  </si>
  <si>
    <t>医療法人社団涼風会　びんご整形外科クリニック</t>
  </si>
  <si>
    <t>社会医療法人清風会　廿日市記念病院</t>
  </si>
  <si>
    <t>新市ときながクリニック</t>
  </si>
  <si>
    <t>唐川医院</t>
  </si>
  <si>
    <t>呉市下蒲刈町下島2498</t>
  </si>
  <si>
    <t>医療法人社団大樹会　中川整形外科医院</t>
  </si>
  <si>
    <t>医療法人佐野内科医院</t>
  </si>
  <si>
    <t>楢崎外科医院</t>
  </si>
  <si>
    <t>瀨分内科医院</t>
  </si>
  <si>
    <t>医療法人同仁会　府中中央内科病院</t>
  </si>
  <si>
    <t>医療法人社団慶正会　奥野内科医院</t>
  </si>
  <si>
    <t>せおクリニック</t>
  </si>
  <si>
    <t>医療法人社団千和会　ほそや内科クリニック</t>
  </si>
  <si>
    <t>府中市中須町1694</t>
  </si>
  <si>
    <t>医療法人岸医院</t>
  </si>
  <si>
    <t>川﨑内科医院</t>
  </si>
  <si>
    <t>府中みのりクリニック</t>
  </si>
  <si>
    <t>医療法人かじわら内科循環器内科</t>
  </si>
  <si>
    <t>地方独立行政法人府中市病院機構　府中市民病院</t>
  </si>
  <si>
    <t>府中市上下町上下2101</t>
  </si>
  <si>
    <t>医療法人ひがき眼科</t>
  </si>
  <si>
    <t>医療法人翔帆会　河村内科</t>
  </si>
  <si>
    <t>なかはまハートクリニック</t>
  </si>
  <si>
    <t>医療法人くすおか整形外科クリニック</t>
  </si>
  <si>
    <t>医療法人社団近藤医院</t>
  </si>
  <si>
    <t>原小児科</t>
  </si>
  <si>
    <t>医療法人社団岡崎医院</t>
  </si>
  <si>
    <t>医療法人社団ワイ・エス・ケー心和会　重信医院</t>
  </si>
  <si>
    <t>医療法人社団大谷会　島の病院おおたに</t>
  </si>
  <si>
    <t>医療法人 内科・外科 鳴戸医院</t>
  </si>
  <si>
    <t>医療法人新和会　三次病院</t>
  </si>
  <si>
    <t>三次市粟屋町1731</t>
  </si>
  <si>
    <t>三次地区医療センター</t>
  </si>
  <si>
    <t>医療法人ともみ会　大倉医院</t>
  </si>
  <si>
    <t>瀬山備北内科</t>
  </si>
  <si>
    <t>医療法人至誠会　市頭眼科医院</t>
  </si>
  <si>
    <t>山田整形外科医院</t>
  </si>
  <si>
    <t>医療法人わかみやメンタルクリニック</t>
  </si>
  <si>
    <t>医療法人福原内科胃腸科</t>
  </si>
  <si>
    <t>医療法人社団あんどう眼科</t>
  </si>
  <si>
    <t>にぐま皮ふ科クリニック</t>
  </si>
  <si>
    <t>医療法人微風会　ビハーラ花の里病院</t>
  </si>
  <si>
    <t>いとう内科クリニック</t>
  </si>
  <si>
    <t>医療法人社団こね森内科医院</t>
  </si>
  <si>
    <t>三次市東酒屋町10531</t>
  </si>
  <si>
    <t>石橋クリニック</t>
  </si>
  <si>
    <t>三次市国民健康保険甲奴診療所</t>
  </si>
  <si>
    <t>三次市国民健康保険作木診療所</t>
  </si>
  <si>
    <t>松尾整形外科リハビリクリニック</t>
  </si>
  <si>
    <t>グリーンクリニック</t>
  </si>
  <si>
    <t>医療法人ひさゆき耳鼻咽喉科アレルギー科</t>
  </si>
  <si>
    <t>おかべ皮ふ科</t>
  </si>
  <si>
    <t>医療法人碧い颯清水医院</t>
  </si>
  <si>
    <t>備北眼科</t>
  </si>
  <si>
    <t>三次市国民健康保険みよしこども診療所</t>
  </si>
  <si>
    <t>梶山医院</t>
  </si>
  <si>
    <t>まりあ眼科クリニック</t>
  </si>
  <si>
    <t>医療法人社団聖仁会　戸谷医院</t>
  </si>
  <si>
    <t>医療法人社団石井クリニック</t>
  </si>
  <si>
    <t>庄原市高野診療所</t>
  </si>
  <si>
    <t>医療法人社団造賀信原医院</t>
  </si>
  <si>
    <t>のぞみ整形外科クリニック寺家</t>
  </si>
  <si>
    <t>小山医院</t>
  </si>
  <si>
    <t>庄原市高野町新市711</t>
  </si>
  <si>
    <t>庄原こどもクリニック</t>
  </si>
  <si>
    <t>医療法人社団古吉眼科医院</t>
  </si>
  <si>
    <t>医療法人社団親和会　大和橋医院</t>
  </si>
  <si>
    <t>栗谷診療所</t>
  </si>
  <si>
    <t>大竹市栗谷町小栗林720</t>
  </si>
  <si>
    <t>医療法人立整会　立川整形外科リハビリリウマチクリニック</t>
  </si>
  <si>
    <t>医療法人社団とよしま医院　レディースクリニックとよしま医院</t>
  </si>
  <si>
    <t>医療法人社団高上クリニック</t>
  </si>
  <si>
    <t>医療法人社団藤原医院</t>
  </si>
  <si>
    <t>東広島市黒瀬町兼広140</t>
  </si>
  <si>
    <t>医療法人高橋ホームクリニック</t>
  </si>
  <si>
    <t>医療法人社団松田医院</t>
  </si>
  <si>
    <t>社会医療法人社団陽正会　寺岡記念病院</t>
  </si>
  <si>
    <t>東広島市八本松町飯田101</t>
  </si>
  <si>
    <t>医療法人ハートフル　あまのクリニック</t>
  </si>
  <si>
    <t>医療法人アソカ　アソカの園武島医院</t>
  </si>
  <si>
    <t>かとう歯科クリニック</t>
  </si>
  <si>
    <t>のだ医院</t>
  </si>
  <si>
    <t>三浦医院</t>
  </si>
  <si>
    <t>医療法人社団慈杏会　土肥整形外科病院</t>
  </si>
  <si>
    <t>医療法人社団　白市診療所</t>
  </si>
  <si>
    <t>医療法人社団洞仁会　眼科日山医院</t>
  </si>
  <si>
    <t>医療法人社団親心会　小西脳外科内科医院</t>
  </si>
  <si>
    <t>医療法人社団数佐整形外科医院</t>
  </si>
  <si>
    <t>医療法人　藤原内科医院</t>
  </si>
  <si>
    <t>医療法人社団さえき医院</t>
  </si>
  <si>
    <t>広島県厚生農業協同組合連合会　吉田総合病院</t>
  </si>
  <si>
    <t>宝諸歯科医院</t>
  </si>
  <si>
    <t>医療法人社団なんぶ内科医院</t>
  </si>
  <si>
    <t>東広島市西条町吉行2214</t>
  </si>
  <si>
    <t>医療法人千誠会　高屋整形外科</t>
  </si>
  <si>
    <t>医療法人社団にしだ眼科医院</t>
  </si>
  <si>
    <t>くぼにし小児科内科クリニック</t>
  </si>
  <si>
    <t>医療法人大和会　西条ときわクリニック</t>
  </si>
  <si>
    <t>市立三次中央病院（歯科）</t>
  </si>
  <si>
    <t>木阪クリニック</t>
  </si>
  <si>
    <t>医療法人康樹会　すぎた皮ふ科アレルギー科</t>
  </si>
  <si>
    <t>医療法人社団みめぐみ会　サンクリニック</t>
  </si>
  <si>
    <t>ひろしまこどもクリニック</t>
  </si>
  <si>
    <t>なかた内科医院</t>
  </si>
  <si>
    <t>医療法人岡本内科消化器科</t>
  </si>
  <si>
    <t>東広島市黒瀬町兼広138</t>
  </si>
  <si>
    <t>サザンクリニック</t>
  </si>
  <si>
    <t>医療法人かとう小児科アレルギー科</t>
  </si>
  <si>
    <t>医療法人のぞみ会　むぎ耳鼻咽喉科医院</t>
  </si>
  <si>
    <t>松林レディースクリニック</t>
  </si>
  <si>
    <t>なべしま歯科医院</t>
  </si>
  <si>
    <t>医療法人野村脳神経外科クリニック</t>
  </si>
  <si>
    <t>東広島市黒瀬町兼広137</t>
  </si>
  <si>
    <t>社会医療法人社団沼南会　沼隈病院</t>
  </si>
  <si>
    <t>たにぐち脳神経外科クリニック</t>
  </si>
  <si>
    <t>医療法人こまざわ小児科</t>
  </si>
  <si>
    <t>医療法人社団康知会　広大前皮ふ科内科</t>
  </si>
  <si>
    <t>医療法人MyClinicマイクリニック</t>
  </si>
  <si>
    <t>東広島市西条町寺家4720</t>
  </si>
  <si>
    <t>医療法人ひまわり會　加藤耳鼻咽喉科</t>
  </si>
  <si>
    <t>医療法人智永会　ファミリークリニック森のくまさん</t>
  </si>
  <si>
    <t>医療法人みやわき耳鼻咽喉科クリニック</t>
  </si>
  <si>
    <t>西条心療クリニック</t>
  </si>
  <si>
    <t>串戸心療クリニック</t>
  </si>
  <si>
    <t>因島村上歯科医院</t>
  </si>
  <si>
    <t>医療法人社団成和会　うたのはら整形外科クリニック</t>
  </si>
  <si>
    <t>東広島市八本松町原6769</t>
  </si>
  <si>
    <t>ゆかわ脳神経外科クリニック</t>
  </si>
  <si>
    <t>おおくぼ耳鼻咽喉科クリニック</t>
  </si>
  <si>
    <t>じあん眼科</t>
  </si>
  <si>
    <t>原クリニック東広島</t>
  </si>
  <si>
    <t>ないとう内科糖尿病クリニック</t>
  </si>
  <si>
    <t>東広島市西条町馬木458</t>
  </si>
  <si>
    <t>おかざき泌尿器科</t>
  </si>
  <si>
    <t>医療法人薫風会　田辺医院</t>
  </si>
  <si>
    <t>医療法人長谷川医院</t>
  </si>
  <si>
    <t>医療法人増田ファミリークリニック</t>
  </si>
  <si>
    <t>松浦内科医院</t>
  </si>
  <si>
    <t>内藤内科医院</t>
  </si>
  <si>
    <t>医療法人ピー・エイチ・イー　きむら内科小児科医院</t>
  </si>
  <si>
    <t>井村眼科医院</t>
  </si>
  <si>
    <t>医療法人あかね会　阿品土谷病院</t>
  </si>
  <si>
    <t>岡原内科皮ふ科クリニック</t>
  </si>
  <si>
    <t>中尾医院</t>
  </si>
  <si>
    <t>平田歯科医院</t>
  </si>
  <si>
    <t>医療法人社団　仁愛内科医院</t>
  </si>
  <si>
    <t>なかごう内科</t>
  </si>
  <si>
    <t>医療法人明和会　北広島病院</t>
  </si>
  <si>
    <t>阿賀中央歯科医院</t>
  </si>
  <si>
    <t>佐藤皮ふ科クリニック</t>
  </si>
  <si>
    <t>医療法人玉川クリニック　玉川内科アレルギー科クリニック</t>
  </si>
  <si>
    <t>医療法人社団アイビー眼科</t>
  </si>
  <si>
    <t>河村小児科</t>
  </si>
  <si>
    <t>ひらた耳鼻咽喉科アレルギー科</t>
  </si>
  <si>
    <t>ふじかわ心療内科クリニック</t>
  </si>
  <si>
    <t>医療法人宮島クリニック</t>
  </si>
  <si>
    <t>広島生活習慣病・がん健診所大野</t>
  </si>
  <si>
    <t>医療法人あわや内科クリニック</t>
  </si>
  <si>
    <t>医療法人社団清逸会　大野東クリニック</t>
  </si>
  <si>
    <t>東広島市高屋町小谷3300</t>
  </si>
  <si>
    <t>医療法人かしの木会　山本整形外科病院</t>
  </si>
  <si>
    <t>田口脳心臓血管クリニック</t>
  </si>
  <si>
    <t>かわごえクリニック</t>
  </si>
  <si>
    <t>くろさきクリニック</t>
  </si>
  <si>
    <t>わたなべ眼科</t>
  </si>
  <si>
    <t>明石内科クリニック</t>
  </si>
  <si>
    <t>医療法人緑康会　山根クリニック</t>
  </si>
  <si>
    <t>秋月診療所</t>
  </si>
  <si>
    <t>澤医院</t>
  </si>
  <si>
    <t>橘高歯科医院</t>
  </si>
  <si>
    <t>医療法人社団仁風会　青木病院</t>
  </si>
  <si>
    <t>医療法人社団　田中医院</t>
  </si>
  <si>
    <t>黒澤波多見診療所</t>
  </si>
  <si>
    <t>呉市蒲刈町大浦793</t>
  </si>
  <si>
    <t>天神川なかむら内科</t>
  </si>
  <si>
    <t>医療法人社団森本医院</t>
  </si>
  <si>
    <t>酒井耳鼻咽喉科皮ふ科医院</t>
  </si>
  <si>
    <t>豊田レディースクリニック</t>
  </si>
  <si>
    <t>在宅療養支援診療所りんりんクリニック</t>
  </si>
  <si>
    <t>まつもと歯科医院</t>
  </si>
  <si>
    <t>おかだ眼科</t>
  </si>
  <si>
    <t>まきこ眼科クリニック</t>
  </si>
  <si>
    <t>マツダ株式会社　マツダ病院</t>
  </si>
  <si>
    <t>つちはし歯科医院</t>
  </si>
  <si>
    <t>社会福祉法人広島厚生事業協会　府中みくまり病院</t>
  </si>
  <si>
    <t>医療法人大島内科医院</t>
  </si>
  <si>
    <t>医療法人社団岸本医院</t>
  </si>
  <si>
    <t>医療法人社団康仁会　森原内科胃腸科医院</t>
  </si>
  <si>
    <t>医療法人しらね眼科</t>
  </si>
  <si>
    <t>菅波第二歯科医院</t>
  </si>
  <si>
    <t>医療法人いちえ会　おおや耳鼻咽喉科</t>
  </si>
  <si>
    <t>庄原市東城町川東1134</t>
  </si>
  <si>
    <t>医療法人社団瀬戸ハイム内科</t>
  </si>
  <si>
    <t>こさか内科</t>
  </si>
  <si>
    <t>やまだ眼科</t>
  </si>
  <si>
    <t>医療法人津田産婦人科クリニック</t>
  </si>
  <si>
    <t>行徳皮ふ科アレルギー科</t>
  </si>
  <si>
    <t>医療法人KOC　金谷整形外科クリニック</t>
  </si>
  <si>
    <t>オリーブデンタルクリニック</t>
  </si>
  <si>
    <t>こころのクリニックひまわり</t>
  </si>
  <si>
    <t>鈴川内科クリニック</t>
  </si>
  <si>
    <t>櫻クリニック</t>
  </si>
  <si>
    <t>医療法人寿仁会　田原クリニック</t>
  </si>
  <si>
    <t>むかいなだ耳鼻咽喉科・アレルギー科</t>
  </si>
  <si>
    <t>永井医院</t>
  </si>
  <si>
    <t>医療法人福寿会　天野医院</t>
  </si>
  <si>
    <t>廿日市市津田4259</t>
  </si>
  <si>
    <t>医療法人社団　砂堀医院</t>
  </si>
  <si>
    <t>医療法人北原会　敬愛病院</t>
  </si>
  <si>
    <t>廿日市市大野72</t>
  </si>
  <si>
    <t>小林歯科診療所</t>
  </si>
  <si>
    <t>医療法人社団貴和会　佐伯中央病院</t>
  </si>
  <si>
    <t>廿日市市津田4180</t>
  </si>
  <si>
    <t>新谷歯科医院</t>
  </si>
  <si>
    <t>医療法人中丸クリニック</t>
  </si>
  <si>
    <t>医療法人社団永田内科</t>
  </si>
  <si>
    <t>医療法人社団明和会　大野浦病院</t>
  </si>
  <si>
    <t>山県郡安芸太田町下殿河内236</t>
  </si>
  <si>
    <t>北広島町雄鹿原診療所</t>
  </si>
  <si>
    <t>山県郡北広島町荒神原200</t>
  </si>
  <si>
    <t>医療法人真慈会　真愛病院</t>
  </si>
  <si>
    <t>医療法人社団せがわ会　千代田病院</t>
  </si>
  <si>
    <t>山県郡北広島町今田3860</t>
  </si>
  <si>
    <t>医療法人社団慶寿会　千代田中央病院</t>
  </si>
  <si>
    <t>大朝ふるさと病院</t>
  </si>
  <si>
    <t>山県郡北広島町有田1532</t>
  </si>
  <si>
    <t>医療法人社団仁屋会　片山歯科医院</t>
  </si>
  <si>
    <t>北広島町豊平診療所</t>
  </si>
  <si>
    <t>山県郡北広島町阿坂4705</t>
  </si>
  <si>
    <t>井上内科医院</t>
  </si>
  <si>
    <t>安芸高田市吉田町山手585</t>
  </si>
  <si>
    <t>独立行政法人国立病院機構　広島西医療センター</t>
  </si>
  <si>
    <t>医療法人社団沢崎外科</t>
  </si>
  <si>
    <t>三宅医院</t>
  </si>
  <si>
    <t>医療法人社団平岡医院</t>
  </si>
  <si>
    <t>安芸高田市甲田町高田原1043</t>
  </si>
  <si>
    <t>のりかわ眼科クリニック</t>
  </si>
  <si>
    <t>こだま整形外科医院</t>
  </si>
  <si>
    <t>なかもと眼科クリニック</t>
  </si>
  <si>
    <t>医療法人佐々部診療所</t>
  </si>
  <si>
    <t>児玉眼科医院</t>
  </si>
  <si>
    <t>東広島市黒瀬町兼沢1074</t>
  </si>
  <si>
    <t>清水医院</t>
  </si>
  <si>
    <t>東広島市黒瀬町丸山1324</t>
  </si>
  <si>
    <t>医療法人社団仁清会　康成病院</t>
  </si>
  <si>
    <t>東広島市黒瀬町楢原757</t>
  </si>
  <si>
    <t>因島総合介護医療院</t>
  </si>
  <si>
    <t>東広島市黒瀬町兼広279</t>
  </si>
  <si>
    <t>医療法人宥善会前田医院</t>
  </si>
  <si>
    <t>医療法人社団回生会永井医院</t>
  </si>
  <si>
    <t>医療法人社団田村医院</t>
  </si>
  <si>
    <t>豊田郡大崎上島町明石2700</t>
  </si>
  <si>
    <t>寺元医院</t>
  </si>
  <si>
    <t>医療法人社団　升谷医院</t>
  </si>
  <si>
    <t>日本鋼管福山病院（歯科）</t>
  </si>
  <si>
    <t>呉市豊浜町豊島3958</t>
  </si>
  <si>
    <t>医療法人社団越智医院</t>
  </si>
  <si>
    <t>医療法人木下内科医院</t>
  </si>
  <si>
    <t>さともとクリニック</t>
  </si>
  <si>
    <t>医療法人社団宮本クリニック</t>
  </si>
  <si>
    <t>かじわら歯科医院</t>
  </si>
  <si>
    <t>県立安芸津病院</t>
  </si>
  <si>
    <t>東広島市安芸津町三津4388</t>
  </si>
  <si>
    <t>医療法人社団　渡辺クリニック</t>
  </si>
  <si>
    <t>医療法人山下内科クリニック</t>
  </si>
  <si>
    <t>南海診療所</t>
  </si>
  <si>
    <t>東広島市安芸津町風早2027</t>
  </si>
  <si>
    <t>医療法人社団　住吉医院</t>
  </si>
  <si>
    <t>医療法人社団奉佑会　本多医院</t>
  </si>
  <si>
    <t>はまだ歯科クリニック</t>
  </si>
  <si>
    <t>尾道市向島町5900</t>
  </si>
  <si>
    <t>大田垣医院</t>
  </si>
  <si>
    <t>尾道市御調町神101</t>
  </si>
  <si>
    <t>医療法人社団博和会　得本医院</t>
  </si>
  <si>
    <t>尾道市向島町5450</t>
  </si>
  <si>
    <t>医療法人社団　瀬尾医院</t>
  </si>
  <si>
    <t>医療法人社団光羅会　藤原眼科</t>
  </si>
  <si>
    <t>世羅郡世羅町本郷1028</t>
  </si>
  <si>
    <t>正覚クリニック</t>
  </si>
  <si>
    <t>常石医院</t>
  </si>
  <si>
    <t>医療法人社団健信会　木下メディカルクリニック</t>
  </si>
  <si>
    <t>倉田内科医院</t>
  </si>
  <si>
    <t>ゆかわ歯科クリニック</t>
  </si>
  <si>
    <t>村上泌尿器科内科医院</t>
  </si>
  <si>
    <t>福山市沼隈町常石2635</t>
  </si>
  <si>
    <t>医療法人社団成恵会　やまてクリニック</t>
  </si>
  <si>
    <t>医療法人社団清和会　柴田内科</t>
  </si>
  <si>
    <t>髙橋脳神経外科 循環器内科</t>
  </si>
  <si>
    <t>公立下蒲刈病院（歯科）</t>
  </si>
  <si>
    <t>福山市神辺町道上3004</t>
  </si>
  <si>
    <t>医療法人社団峰良会　麻の実歯科医院</t>
  </si>
  <si>
    <t>優輝整形リハビリステーション</t>
  </si>
  <si>
    <t>さかい内科</t>
  </si>
  <si>
    <t>きぬた小児科</t>
  </si>
  <si>
    <t>医療法人三島医院</t>
  </si>
  <si>
    <t>医療法人社団星田医院</t>
  </si>
  <si>
    <t>医療法人津島医院</t>
  </si>
  <si>
    <t>くまの歯科クリニック</t>
  </si>
  <si>
    <t>高場クリニック</t>
  </si>
  <si>
    <t>三次市吉舎町吉舎493</t>
  </si>
  <si>
    <t>医療法人社団千手会　瀬尾医院</t>
  </si>
  <si>
    <t>医療法人社団裕穂会　さとう歯科</t>
  </si>
  <si>
    <t>医療法人社団増原会　東城病院</t>
  </si>
  <si>
    <t>日傳医院</t>
  </si>
  <si>
    <t>医療法人社団杏亮会　細川医院</t>
  </si>
  <si>
    <t>信森歯科医院</t>
  </si>
  <si>
    <t>独立行政法人国立病院機構　福山医療センター</t>
  </si>
  <si>
    <t>独立行政法人国立病院機構　賀茂精神医療センター</t>
  </si>
  <si>
    <t>東広島市黒瀬町南方92</t>
  </si>
  <si>
    <t>国家公務員共済組合連合会　呉共済病院（歯科）</t>
  </si>
  <si>
    <t>宇根本歯科医院</t>
  </si>
  <si>
    <t>鈴木歯科医院</t>
  </si>
  <si>
    <t>医療法人社団紫翠会　ヴィラ歯科</t>
  </si>
  <si>
    <t>うらべ歯科</t>
  </si>
  <si>
    <t>医療法人社団新風会　佐伯歯科</t>
  </si>
  <si>
    <t>己斐歯科医院</t>
  </si>
  <si>
    <t>堂脇歯科医院</t>
  </si>
  <si>
    <t>医療法人緑風会　ほうゆう病院（歯科）</t>
  </si>
  <si>
    <t>医療法人社団永楽会　前田病院（歯科）</t>
  </si>
  <si>
    <t>三条歯科</t>
  </si>
  <si>
    <t>医療法人社団はしもと会　はしもと歯科曙診療所</t>
  </si>
  <si>
    <t>医療法人よつば会　グレース歯科クリニック</t>
  </si>
  <si>
    <t>ひらたデンタルクリニック</t>
  </si>
  <si>
    <t>医療法人ユナイテッド　うえはら歯科</t>
  </si>
  <si>
    <t>重症心身障害児施設ときわ呉（歯科）</t>
  </si>
  <si>
    <t>あおぞら歯科医院</t>
  </si>
  <si>
    <t>庄原市総領歯科診療所</t>
  </si>
  <si>
    <t>医療法人社団記念歯科</t>
  </si>
  <si>
    <t>医療法人社団優人会　ゆめタウン呉こもれび歯科</t>
  </si>
  <si>
    <t>医療法人社団琴奈会　イチカワ歯科クリニック</t>
  </si>
  <si>
    <t>みかん歯科</t>
  </si>
  <si>
    <t>ファミリー歯科診療所</t>
  </si>
  <si>
    <t>さとう歯科</t>
  </si>
  <si>
    <t>おがた歯科</t>
  </si>
  <si>
    <t>クラーク矯正歯科</t>
  </si>
  <si>
    <t>医療法人社団大聖会　よりかね歯科医院</t>
  </si>
  <si>
    <t>White Dental Clinic</t>
  </si>
  <si>
    <t>林歯科医院</t>
  </si>
  <si>
    <t>医療法人なかま　さいざき歯科</t>
  </si>
  <si>
    <t>郷田歯科医院</t>
  </si>
  <si>
    <t>福山市新市町戸手586</t>
  </si>
  <si>
    <t>医療法人社団萌生会　中尾歯科医院</t>
  </si>
  <si>
    <t>医療法人社団仁至会　河上歯科医院</t>
  </si>
  <si>
    <t>石井歯科医院</t>
  </si>
  <si>
    <t>黒瀬歯科医院</t>
  </si>
  <si>
    <t>医療法人社団宗仁会　宗永歯科医院</t>
  </si>
  <si>
    <t>マリン歯科クリニック</t>
  </si>
  <si>
    <t>苅田歯科医院</t>
  </si>
  <si>
    <t>さいだ歯科医院</t>
  </si>
  <si>
    <t>勝島歯科医院</t>
  </si>
  <si>
    <t>日立造船健康保険組合　因島総合病院（歯科）</t>
  </si>
  <si>
    <t>小林歯科</t>
  </si>
  <si>
    <t>坂本歯科医院</t>
  </si>
  <si>
    <t>海田デンタルクリニック</t>
  </si>
  <si>
    <t>福山市今津町760</t>
  </si>
  <si>
    <t>小川歯科医院</t>
  </si>
  <si>
    <t>牧平歯科医院</t>
  </si>
  <si>
    <t>森デンタルクリニック</t>
  </si>
  <si>
    <t>荒木歯科医院</t>
  </si>
  <si>
    <t>医療法人社団義成会　木村歯科診療所</t>
  </si>
  <si>
    <t>髙橋歯科医院</t>
  </si>
  <si>
    <t>わだ歯科クリニック</t>
  </si>
  <si>
    <t>公立学校共済組合　中国中央病院（歯科）</t>
  </si>
  <si>
    <t>医療法人森田会　吉田歯科クリニック</t>
  </si>
  <si>
    <t>はなえみ歯科</t>
  </si>
  <si>
    <t>一般社団法人福山市歯科医師会口腔保健センター</t>
  </si>
  <si>
    <t>新長歯科医院</t>
  </si>
  <si>
    <t>福山市水呑町4991</t>
  </si>
  <si>
    <t>井上歯科医院</t>
  </si>
  <si>
    <t>福山市千田町千田1857</t>
  </si>
  <si>
    <t>田頭歯科医院</t>
  </si>
  <si>
    <t>医療法人社団みずほ会　蔵王歯科</t>
  </si>
  <si>
    <t>きだ歯科医院</t>
  </si>
  <si>
    <t>うえはら歯科医院</t>
  </si>
  <si>
    <t>医療法人社団竹山歯科</t>
  </si>
  <si>
    <t>ひらい歯科</t>
  </si>
  <si>
    <t>医療法人宝歯会　廿日市スマイル歯科小児歯科医院</t>
  </si>
  <si>
    <t>志渡沢歯科医院</t>
  </si>
  <si>
    <t>福山市瀬戸町長和195</t>
  </si>
  <si>
    <t>ひの歯科医院</t>
  </si>
  <si>
    <t>佐藤歯科医院</t>
  </si>
  <si>
    <t>たての歯科クリニック</t>
  </si>
  <si>
    <t>たかた歯科医院</t>
  </si>
  <si>
    <t>社会医療法人定和会　神原病院（歯科）</t>
  </si>
  <si>
    <t>医療法人社団義恵会　土屋歯科医院</t>
  </si>
  <si>
    <t>中尾歯科医院</t>
  </si>
  <si>
    <t>横山歯科医院</t>
  </si>
  <si>
    <t>福山市金江町藁江140</t>
  </si>
  <si>
    <t>ぎゅう歯科</t>
  </si>
  <si>
    <t>さくら歯科医院</t>
  </si>
  <si>
    <t>C’sデンタルクリニック</t>
  </si>
  <si>
    <t>きのしょう歯科診療所</t>
  </si>
  <si>
    <t>塩﨑歯科医院</t>
  </si>
  <si>
    <t>医療法人幸美会　なかむら歯科クリニック</t>
  </si>
  <si>
    <t>福山市民病院（歯科）</t>
  </si>
  <si>
    <t>医療法人東和会　小林病院（歯科）</t>
  </si>
  <si>
    <t>道上歯科医院</t>
  </si>
  <si>
    <t>広島県立福山若草園（歯科）</t>
  </si>
  <si>
    <t>クローバー歯科</t>
  </si>
  <si>
    <t>社会医療法人社団沼南会　沼隈病院（歯科）</t>
  </si>
  <si>
    <t>明王台クリニック</t>
  </si>
  <si>
    <t>福山東部歯科医院</t>
  </si>
  <si>
    <t>橋本歯科医院</t>
  </si>
  <si>
    <t>はやしだ歯科医院</t>
  </si>
  <si>
    <t>新市歯科医院</t>
  </si>
  <si>
    <t>細川歯科</t>
  </si>
  <si>
    <t>はまはら歯科</t>
  </si>
  <si>
    <t>医療法人新和会　三次病院（歯科）</t>
  </si>
  <si>
    <t>瀬山備北歯科</t>
  </si>
  <si>
    <t>おぜき歯科</t>
  </si>
  <si>
    <t>おおかど歯科医院</t>
  </si>
  <si>
    <t>生熊歯科</t>
  </si>
  <si>
    <t>川口歯科医院</t>
  </si>
  <si>
    <t>医療法人社団知仁会　メープルヒル病院（歯科）</t>
  </si>
  <si>
    <t>伊東歯科医院</t>
  </si>
  <si>
    <t>医療法人社団伊藤歯科医院</t>
  </si>
  <si>
    <t>広島県立総合リハビリテーションセンター医療センター（歯科）</t>
  </si>
  <si>
    <t>にしはら歯科</t>
  </si>
  <si>
    <t>医療法人なかま　ささき歯科クリニック</t>
  </si>
  <si>
    <t>東広島市河内町小田2182</t>
  </si>
  <si>
    <t>藤田歯科医院</t>
  </si>
  <si>
    <t>医院  歯の健康ドクター</t>
  </si>
  <si>
    <t>広島県厚生農業協同組合連合会　広島総合病院（歯科）</t>
  </si>
  <si>
    <t>渡辺歯科</t>
  </si>
  <si>
    <t>安田歯科医院</t>
  </si>
  <si>
    <t>串戸歯科クリニック</t>
  </si>
  <si>
    <t>橋田歯科医院</t>
  </si>
  <si>
    <t>まさき歯科クリニック</t>
  </si>
  <si>
    <t>中川歯科医院</t>
  </si>
  <si>
    <t>清水歯科矯正歯科</t>
  </si>
  <si>
    <t>医療法人翡翠会　にしだ歯科クリニック</t>
  </si>
  <si>
    <t>マツダ株式会社　マツダ病院（歯科）</t>
  </si>
  <si>
    <t>田中歯科医院</t>
  </si>
  <si>
    <t>根石歯科医院</t>
  </si>
  <si>
    <t>さんたんだ歯科医院</t>
  </si>
  <si>
    <t>医療法人社団　竹下歯科医院</t>
  </si>
  <si>
    <t>医療法人社団樹会　芸北深井歯科医院</t>
  </si>
  <si>
    <t>西川歯科医院</t>
  </si>
  <si>
    <t>医療法人清正会　谷﨑歯科クリニック</t>
  </si>
  <si>
    <t>もみじ歯科</t>
  </si>
  <si>
    <t>医療法人甲元歯科医院</t>
  </si>
  <si>
    <t>松原歯科医院</t>
  </si>
  <si>
    <t>医療法人社団かみて歯科クリニック</t>
  </si>
  <si>
    <t>医療法人社団安芸歯科クリニック</t>
  </si>
  <si>
    <t>村上歯科医院</t>
  </si>
  <si>
    <t>医療法人社団樹会　戸河内廣安歯科医院</t>
  </si>
  <si>
    <t>山県郡北広島町川小田199</t>
  </si>
  <si>
    <t>こうの歯科医院</t>
  </si>
  <si>
    <t>本田歯科医院</t>
  </si>
  <si>
    <t>元林歯科医院</t>
  </si>
  <si>
    <t>安芸高田市甲田町高田原1451</t>
  </si>
  <si>
    <t>安芸高田市甲田町高田原1438</t>
  </si>
  <si>
    <t>なかおか歯科</t>
  </si>
  <si>
    <t>医療法人青心会　ラベンダー歯科クリニック</t>
  </si>
  <si>
    <t>みどりファミリー歯科</t>
  </si>
  <si>
    <t>有木歯科医院</t>
  </si>
  <si>
    <t>アリス歯科クリニック</t>
  </si>
  <si>
    <t>東広島市黒瀬町兼広141</t>
  </si>
  <si>
    <t>豊田郡大崎上島町木江丙246</t>
  </si>
  <si>
    <t>瀬戸田村上歯科医院</t>
  </si>
  <si>
    <t>よこた歯科医院</t>
  </si>
  <si>
    <t>公立世羅中央病院（歯科）</t>
  </si>
  <si>
    <t>下宮歯科医院</t>
  </si>
  <si>
    <t>たけまる歯科医院</t>
  </si>
  <si>
    <t>片山歯科医院</t>
  </si>
  <si>
    <t>いのうえ歯科医院</t>
  </si>
  <si>
    <t>福山市新市町宮内362</t>
  </si>
  <si>
    <t>うつみ歯科医院</t>
  </si>
  <si>
    <t>松山歯科クリニック</t>
  </si>
  <si>
    <t>みやじ歯科</t>
  </si>
  <si>
    <t>庄原市東城町東城238</t>
  </si>
  <si>
    <t>独立行政法人国立病院機構　呉医療センター（歯科）</t>
  </si>
  <si>
    <t>独立行政法人国立病院機構　東広島医療センター（歯科）</t>
  </si>
  <si>
    <t>独立行政法人国立病院機構　広島西医療センター（歯科）</t>
  </si>
  <si>
    <t>介護医療院グリーン三条</t>
  </si>
  <si>
    <t>安田介護医療院</t>
  </si>
  <si>
    <t>社会医療法人里仁会　介護医療院仁生苑</t>
  </si>
  <si>
    <t>八千代病院介護医療院</t>
  </si>
  <si>
    <t>指定有効
終了日</t>
    <phoneticPr fontId="1" type="Hiragana"/>
  </si>
  <si>
    <t>難病 指定医療機関（病院、診療所、介護医療院）</t>
    <rPh sb="0" eb="2">
      <t>なんびょう</t>
    </rPh>
    <rPh sb="3" eb="9">
      <t>していいりょうきかん</t>
    </rPh>
    <rPh sb="10" eb="12">
      <t>びょういん</t>
    </rPh>
    <rPh sb="13" eb="16">
      <t>しんりょうしょ</t>
    </rPh>
    <rPh sb="17" eb="22">
      <t>かいごいりょういん</t>
    </rPh>
    <phoneticPr fontId="1" type="Hiragana"/>
  </si>
  <si>
    <t>❖令和７年２月末</t>
    <rPh sb="1" eb="3">
      <t>れいわ</t>
    </rPh>
    <rPh sb="4" eb="5">
      <t>ねん</t>
    </rPh>
    <rPh sb="6" eb="7">
      <t>げつ</t>
    </rPh>
    <rPh sb="7" eb="8">
      <t>まつ</t>
    </rPh>
    <phoneticPr fontId="1" type="Hiragana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</si>
</sst>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3"/>
      <scheme val="minor"/>
    </font>
    <font>
      <sz val="6"/>
      <name val="游ゴシック"/>
      <family val="3"/>
    </font>
    <font>
      <sz val="9"/>
      <color theme="1"/>
      <name val="ＭＳ Ｐゴシック"/>
      <family val="3"/>
      <charset val="128"/>
    </font>
    <font>
      <sz val="14"/>
      <color theme="1"/>
      <name val="游ゴシック"/>
      <family val="3"/>
      <scheme val="minor"/>
    </font>
    <font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0" xfId="0" applyAlignment="1">
      <alignment vertical="center" wrapText="1"/>
    </xf>
    <xf numFmtId="0" fontId="2" fillId="0" borderId="0" xfId="0" applyFont="1" applyAlignment="1">
      <alignment vertical="center" wrapText="1"/>
    </xf>
    <xf numFmtId="57" fontId="2" fillId="0" borderId="0" xfId="0" applyNumberFormat="1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</cellXfs>
  <cellStyles count="1">
    <cellStyle name="標準" xfId="0" builtinId="0"/>
  </cellStyles>
  <dxfs count="4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ＭＳ Ｐゴシック"/>
        <family val="3"/>
        <charset val="128"/>
        <scheme val="none"/>
      </font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ＭＳ Ｐゴシック"/>
        <family val="3"/>
        <charset val="128"/>
        <scheme val="none"/>
      </font>
      <numFmt numFmtId="44" formatCode="[$-411]ge\.m\.d"/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ＭＳ Ｐゴシック"/>
        <family val="3"/>
        <charset val="128"/>
        <scheme val="none"/>
      </font>
      <alignment horizontal="general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ＭＳ Ｐゴシック"/>
        <family val="3"/>
        <charset val="128"/>
        <scheme val="none"/>
      </font>
      <alignment horizontal="general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C24EC7B-7B5C-4BCF-8C78-D36E3B00D922}" name="テーブル1" displayName="テーブル1" ref="A3:C1226" totalsRowShown="0" headerRowDxfId="0">
  <autoFilter ref="A3:C1226" xr:uid="{EC24EC7B-7B5C-4BCF-8C78-D36E3B00D922}"/>
  <tableColumns count="3">
    <tableColumn id="1" xr3:uid="{7A11FBA7-E123-4D8F-AEA9-28DF1ADB9CB9}" name="名称" dataDxfId="3"/>
    <tableColumn id="2" xr3:uid="{67CF2CD4-91E9-4543-A4E5-51924C643FCD}" name="住所" dataDxfId="2"/>
    <tableColumn id="3" xr3:uid="{A1E7A48B-E836-4E39-821C-5115BEE008E4}" name="指定有効_x000a_終了日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標準">
  <a:themeElements>
    <a:clrScheme name="標準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標準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標準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226"/>
  <sheetViews>
    <sheetView tabSelected="1" workbookViewId="0">
      <selection sqref="A1:C2"/>
    </sheetView>
  </sheetViews>
  <sheetFormatPr defaultRowHeight="18.75" x14ac:dyDescent="0.4"/>
  <cols>
    <col min="1" max="1" width="40.625" style="2" customWidth="1"/>
    <col min="2" max="2" width="30.625" style="2" customWidth="1"/>
    <col min="3" max="3" width="8.625" style="2" customWidth="1"/>
  </cols>
  <sheetData>
    <row r="1" spans="1:3" ht="24.95" customHeight="1" x14ac:dyDescent="0.4">
      <c r="A1" s="6" t="s">
        <v>1340</v>
      </c>
      <c r="B1" s="7"/>
      <c r="C1" s="7"/>
    </row>
    <row r="2" spans="1:3" ht="24.95" customHeight="1" x14ac:dyDescent="0.4">
      <c r="A2" s="2" t="s">
        <v>1341</v>
      </c>
    </row>
    <row r="3" spans="1:3" ht="24.95" customHeight="1" x14ac:dyDescent="0.4">
      <c r="A3" s="5" t="s">
        <v>9</v>
      </c>
      <c r="B3" s="5" t="s">
        <v>5</v>
      </c>
      <c r="C3" s="5" t="s">
        <v>1339</v>
      </c>
    </row>
    <row r="4" spans="1:3" s="1" customFormat="1" ht="18.75" customHeight="1" x14ac:dyDescent="0.4">
      <c r="A4" s="3" t="s">
        <v>1183</v>
      </c>
      <c r="B4" s="3" t="str">
        <f>"呉市阿賀中央4-5-28"</f>
        <v>呉市阿賀中央4-5-28</v>
      </c>
      <c r="C4" s="4">
        <v>46387</v>
      </c>
    </row>
    <row r="5" spans="1:3" s="1" customFormat="1" ht="18.75" customHeight="1" x14ac:dyDescent="0.4">
      <c r="A5" s="3" t="s">
        <v>1009</v>
      </c>
      <c r="B5" s="3" t="str">
        <f>"呉市阿賀中央6-2-11-2Ｆ"</f>
        <v>呉市阿賀中央6-2-11-2Ｆ</v>
      </c>
      <c r="C5" s="4">
        <v>46387</v>
      </c>
    </row>
    <row r="6" spans="1:3" s="1" customFormat="1" ht="18.75" customHeight="1" x14ac:dyDescent="0.4">
      <c r="A6" s="3" t="s">
        <v>1171</v>
      </c>
      <c r="B6" s="3" t="str">
        <f>"呉市阿賀中央8-3-13"</f>
        <v>呉市阿賀中央8-3-13</v>
      </c>
      <c r="C6" s="4">
        <v>46387</v>
      </c>
    </row>
    <row r="7" spans="1:3" s="1" customFormat="1" ht="18.75" customHeight="1" x14ac:dyDescent="0.4">
      <c r="A7" s="3" t="s">
        <v>1178</v>
      </c>
      <c r="B7" s="3" t="str">
        <f>"呉市阿賀北1-14-15"</f>
        <v>呉市阿賀北1-14-15</v>
      </c>
      <c r="C7" s="4">
        <v>46387</v>
      </c>
    </row>
    <row r="8" spans="1:3" s="1" customFormat="1" ht="18.75" customHeight="1" x14ac:dyDescent="0.4">
      <c r="A8" s="3" t="s">
        <v>51</v>
      </c>
      <c r="B8" s="3" t="str">
        <f>"呉市阿賀北1-15-45"</f>
        <v>呉市阿賀北1-15-45</v>
      </c>
      <c r="C8" s="4">
        <v>47118</v>
      </c>
    </row>
    <row r="9" spans="1:3" s="1" customFormat="1" ht="18.75" customHeight="1" x14ac:dyDescent="0.4">
      <c r="A9" s="3" t="s">
        <v>1188</v>
      </c>
      <c r="B9" s="3" t="str">
        <f>"呉市阿賀北9-8-15"</f>
        <v>呉市阿賀北9-8-15</v>
      </c>
      <c r="C9" s="4">
        <v>47118</v>
      </c>
    </row>
    <row r="10" spans="1:3" s="1" customFormat="1" ht="18.75" customHeight="1" x14ac:dyDescent="0.4">
      <c r="A10" s="3" t="s">
        <v>1289</v>
      </c>
      <c r="B10" s="3" t="str">
        <f>"呉市安浦町中央4-4-1"</f>
        <v>呉市安浦町中央4-4-1</v>
      </c>
      <c r="C10" s="4">
        <v>46387</v>
      </c>
    </row>
    <row r="11" spans="1:3" s="1" customFormat="1" ht="18.75" customHeight="1" x14ac:dyDescent="0.4">
      <c r="A11" s="3" t="s">
        <v>38</v>
      </c>
      <c r="B11" s="3" t="str">
        <f>"呉市安浦町中央5-1-54"</f>
        <v>呉市安浦町中央5-1-54</v>
      </c>
      <c r="C11" s="4">
        <v>46387</v>
      </c>
    </row>
    <row r="12" spans="1:3" s="1" customFormat="1" ht="18.75" customHeight="1" x14ac:dyDescent="0.4">
      <c r="A12" s="3" t="s">
        <v>112</v>
      </c>
      <c r="B12" s="3" t="str">
        <f>"呉市押込4-28-2"</f>
        <v>呉市押込4-28-2</v>
      </c>
      <c r="C12" s="4">
        <v>46387</v>
      </c>
    </row>
    <row r="13" spans="1:3" s="1" customFormat="1" ht="18.75" customHeight="1" x14ac:dyDescent="0.4">
      <c r="A13" s="3" t="s">
        <v>132</v>
      </c>
      <c r="B13" s="3" t="str">
        <f>"呉市音戸町高須3-8-7-12"</f>
        <v>呉市音戸町高須3-8-7-12</v>
      </c>
      <c r="C13" s="4">
        <v>47483</v>
      </c>
    </row>
    <row r="14" spans="1:3" s="1" customFormat="1" ht="18.75" customHeight="1" x14ac:dyDescent="0.4">
      <c r="A14" s="3" t="s">
        <v>820</v>
      </c>
      <c r="B14" s="3" t="str">
        <f>"呉市音戸町波多見1-1-44"</f>
        <v>呉市音戸町波多見1-1-44</v>
      </c>
      <c r="C14" s="4">
        <v>46387</v>
      </c>
    </row>
    <row r="15" spans="1:3" s="1" customFormat="1" ht="18.75" customHeight="1" x14ac:dyDescent="0.4">
      <c r="A15" s="3" t="s">
        <v>378</v>
      </c>
      <c r="B15" s="3" t="str">
        <f>"呉市音戸町波多見1-35-28"</f>
        <v>呉市音戸町波多見1-35-28</v>
      </c>
      <c r="C15" s="4">
        <v>46387</v>
      </c>
    </row>
    <row r="16" spans="1:3" s="1" customFormat="1" ht="18.75" customHeight="1" x14ac:dyDescent="0.4">
      <c r="A16" s="3" t="s">
        <v>1149</v>
      </c>
      <c r="B16" s="3" t="str">
        <f>"呉市下蒲刈町下島2120-4"</f>
        <v>呉市下蒲刈町下島2120-4</v>
      </c>
      <c r="C16" s="4">
        <v>46387</v>
      </c>
    </row>
    <row r="17" spans="1:3" s="1" customFormat="1" ht="18.75" customHeight="1" x14ac:dyDescent="0.4">
      <c r="A17" s="3" t="s">
        <v>1185</v>
      </c>
      <c r="B17" s="3" t="str">
        <f>"呉市宮原13-2-12"</f>
        <v>呉市宮原13-2-12</v>
      </c>
      <c r="C17" s="4">
        <v>46387</v>
      </c>
    </row>
    <row r="18" spans="1:3" s="1" customFormat="1" ht="18.75" customHeight="1" x14ac:dyDescent="0.4">
      <c r="A18" s="3" t="s">
        <v>311</v>
      </c>
      <c r="B18" s="3" t="str">
        <f>"呉市郷原町2379-42"</f>
        <v>呉市郷原町2379-42</v>
      </c>
      <c r="C18" s="4">
        <v>46387</v>
      </c>
    </row>
    <row r="19" spans="1:3" s="1" customFormat="1" ht="18.75" customHeight="1" x14ac:dyDescent="0.4">
      <c r="A19" s="3" t="s">
        <v>813</v>
      </c>
      <c r="B19" s="3" t="str">
        <f>"呉市郷原野路の里1-17-6"</f>
        <v>呉市郷原野路の里1-17-6</v>
      </c>
      <c r="C19" s="4">
        <v>46387</v>
      </c>
    </row>
    <row r="20" spans="1:3" s="1" customFormat="1" ht="18.75" customHeight="1" x14ac:dyDescent="0.4">
      <c r="A20" s="3" t="s">
        <v>707</v>
      </c>
      <c r="B20" s="3" t="str">
        <f>"呉市広塩焼1-5-2"</f>
        <v>呉市広塩焼1-5-2</v>
      </c>
      <c r="C20" s="4">
        <v>46387</v>
      </c>
    </row>
    <row r="21" spans="1:3" s="1" customFormat="1" ht="18.75" customHeight="1" x14ac:dyDescent="0.4">
      <c r="A21" s="3" t="s">
        <v>1190</v>
      </c>
      <c r="B21" s="3" t="str">
        <f>"呉市広古新開1-3-1-202"</f>
        <v>呉市広古新開1-3-1-202</v>
      </c>
      <c r="C21" s="4">
        <v>46387</v>
      </c>
    </row>
    <row r="22" spans="1:3" s="1" customFormat="1" ht="18.75" customHeight="1" x14ac:dyDescent="0.4">
      <c r="A22" s="3" t="s">
        <v>1130</v>
      </c>
      <c r="B22" s="3" t="str">
        <f>"呉市広古新開4-2-18"</f>
        <v>呉市広古新開4-2-18</v>
      </c>
      <c r="C22" s="4">
        <v>46387</v>
      </c>
    </row>
    <row r="23" spans="1:3" s="1" customFormat="1" ht="18.75" customHeight="1" x14ac:dyDescent="0.4">
      <c r="A23" s="3" t="s">
        <v>157</v>
      </c>
      <c r="B23" s="3" t="str">
        <f>"呉市広古新開6-3-10"</f>
        <v>呉市広古新開6-3-10</v>
      </c>
      <c r="C23" s="4">
        <v>47848</v>
      </c>
    </row>
    <row r="24" spans="1:3" s="1" customFormat="1" ht="18.75" customHeight="1" x14ac:dyDescent="0.4">
      <c r="A24" s="3" t="s">
        <v>162</v>
      </c>
      <c r="B24" s="3" t="str">
        <f>"呉市広多賀谷1-5-1"</f>
        <v>呉市広多賀谷1-5-1</v>
      </c>
      <c r="C24" s="4">
        <v>46387</v>
      </c>
    </row>
    <row r="25" spans="1:3" s="1" customFormat="1" ht="18.75" customHeight="1" x14ac:dyDescent="0.4">
      <c r="A25" s="3" t="s">
        <v>1191</v>
      </c>
      <c r="B25" s="3" t="str">
        <f>"呉市広中町7-23"</f>
        <v>呉市広中町7-23</v>
      </c>
      <c r="C25" s="4">
        <v>46022</v>
      </c>
    </row>
    <row r="26" spans="1:3" s="1" customFormat="1" ht="18.75" customHeight="1" x14ac:dyDescent="0.4">
      <c r="A26" s="3" t="s">
        <v>1177</v>
      </c>
      <c r="B26" s="3" t="str">
        <f>"呉市広本町3-1-19"</f>
        <v>呉市広本町3-1-19</v>
      </c>
      <c r="C26" s="4">
        <v>46387</v>
      </c>
    </row>
    <row r="27" spans="1:3" s="1" customFormat="1" ht="18.75" customHeight="1" x14ac:dyDescent="0.4">
      <c r="A27" s="3" t="s">
        <v>1186</v>
      </c>
      <c r="B27" s="3" t="str">
        <f>"呉市広本町3-12-12"</f>
        <v>呉市広本町3-12-12</v>
      </c>
      <c r="C27" s="4">
        <v>46387</v>
      </c>
    </row>
    <row r="28" spans="1:3" s="1" customFormat="1" ht="18.75" customHeight="1" x14ac:dyDescent="0.4">
      <c r="A28" s="3" t="s">
        <v>1180</v>
      </c>
      <c r="B28" s="3" t="str">
        <f>"呉市三条2-11-17-101"</f>
        <v>呉市三条2-11-17-101</v>
      </c>
      <c r="C28" s="4">
        <v>46387</v>
      </c>
    </row>
    <row r="29" spans="1:3" s="1" customFormat="1" ht="18.75" customHeight="1" x14ac:dyDescent="0.4">
      <c r="A29" s="3" t="s">
        <v>1172</v>
      </c>
      <c r="B29" s="3" t="str">
        <f>"呉市三条3-7-1"</f>
        <v>呉市三条3-7-1</v>
      </c>
      <c r="C29" s="4">
        <v>46752</v>
      </c>
    </row>
    <row r="30" spans="1:3" s="1" customFormat="1" ht="18.75" customHeight="1" x14ac:dyDescent="0.4">
      <c r="A30" s="3" t="s">
        <v>1184</v>
      </c>
      <c r="B30" s="3" t="str">
        <f>"呉市焼山中央2-4-8"</f>
        <v>呉市焼山中央2-4-8</v>
      </c>
      <c r="C30" s="4">
        <v>46387</v>
      </c>
    </row>
    <row r="31" spans="1:3" s="1" customFormat="1" ht="18.75" customHeight="1" x14ac:dyDescent="0.4">
      <c r="A31" s="3" t="s">
        <v>610</v>
      </c>
      <c r="B31" s="3" t="str">
        <f>"呉市西中央2-1-11"</f>
        <v>呉市西中央2-1-11</v>
      </c>
      <c r="C31" s="4">
        <v>46387</v>
      </c>
    </row>
    <row r="32" spans="1:3" s="1" customFormat="1" ht="18.75" customHeight="1" x14ac:dyDescent="0.4">
      <c r="A32" s="3" t="s">
        <v>1170</v>
      </c>
      <c r="B32" s="3" t="str">
        <f>"呉市西中央2-3-28"</f>
        <v>呉市西中央2-3-28</v>
      </c>
      <c r="C32" s="4">
        <v>46387</v>
      </c>
    </row>
    <row r="33" spans="1:3" s="1" customFormat="1" ht="18.75" customHeight="1" x14ac:dyDescent="0.4">
      <c r="A33" s="3" t="s">
        <v>1332</v>
      </c>
      <c r="B33" s="3" t="str">
        <f>"呉市青山町3-1"</f>
        <v>呉市青山町3-1</v>
      </c>
      <c r="C33" s="4">
        <v>46387</v>
      </c>
    </row>
    <row r="34" spans="1:3" s="1" customFormat="1" ht="18.75" customHeight="1" x14ac:dyDescent="0.4">
      <c r="A34" s="3" t="s">
        <v>1179</v>
      </c>
      <c r="B34" s="3" t="str">
        <f>"呉市中央2-6-20"</f>
        <v>呉市中央2-6-20</v>
      </c>
      <c r="C34" s="4">
        <v>46387</v>
      </c>
    </row>
    <row r="35" spans="1:3" s="1" customFormat="1" ht="18.75" customHeight="1" x14ac:dyDescent="0.4">
      <c r="A35" s="3" t="s">
        <v>378</v>
      </c>
      <c r="B35" s="3" t="str">
        <f>"呉市中央6-6-2"</f>
        <v>呉市中央6-6-2</v>
      </c>
      <c r="C35" s="4">
        <v>46387</v>
      </c>
    </row>
    <row r="36" spans="1:3" s="1" customFormat="1" ht="18.75" customHeight="1" x14ac:dyDescent="0.4">
      <c r="A36" s="3" t="s">
        <v>68</v>
      </c>
      <c r="B36" s="3" t="str">
        <f>"呉市中通2-4-15"</f>
        <v>呉市中通2-4-15</v>
      </c>
      <c r="C36" s="4">
        <v>46387</v>
      </c>
    </row>
    <row r="37" spans="1:3" s="1" customFormat="1" ht="18.75" customHeight="1" x14ac:dyDescent="0.4">
      <c r="A37" s="3" t="s">
        <v>534</v>
      </c>
      <c r="B37" s="3" t="str">
        <f>"呉市中通3-3-27"</f>
        <v>呉市中通3-3-27</v>
      </c>
      <c r="C37" s="4">
        <v>46387</v>
      </c>
    </row>
    <row r="38" spans="1:3" s="1" customFormat="1" ht="18.75" customHeight="1" x14ac:dyDescent="0.4">
      <c r="A38" s="3" t="s">
        <v>408</v>
      </c>
      <c r="B38" s="3" t="str">
        <f>"呉市中通4-12-18"</f>
        <v>呉市中通4-12-18</v>
      </c>
      <c r="C38" s="4">
        <v>46387</v>
      </c>
    </row>
    <row r="39" spans="1:3" s="1" customFormat="1" ht="18.75" customHeight="1" x14ac:dyDescent="0.4">
      <c r="A39" s="3" t="s">
        <v>1189</v>
      </c>
      <c r="B39" s="3" t="str">
        <f>"呉市宝町5-10"</f>
        <v>呉市宝町5-10</v>
      </c>
      <c r="C39" s="4">
        <v>46752</v>
      </c>
    </row>
    <row r="40" spans="1:3" s="1" customFormat="1" ht="18.75" customHeight="1" x14ac:dyDescent="0.4">
      <c r="A40" s="3" t="s">
        <v>1175</v>
      </c>
      <c r="B40" s="3" t="str">
        <f>"呉市本通1-5-12"</f>
        <v>呉市本通1-5-12</v>
      </c>
      <c r="C40" s="4">
        <v>46387</v>
      </c>
    </row>
    <row r="41" spans="1:3" s="1" customFormat="1" ht="18.75" customHeight="1" x14ac:dyDescent="0.4">
      <c r="A41" s="3" t="s">
        <v>1176</v>
      </c>
      <c r="B41" s="3" t="str">
        <f>"呉市本通1-8-14"</f>
        <v>呉市本通1-8-14</v>
      </c>
      <c r="C41" s="4">
        <v>46387</v>
      </c>
    </row>
    <row r="42" spans="1:3" s="1" customFormat="1" ht="18.75" customHeight="1" x14ac:dyDescent="0.4">
      <c r="A42" s="3" t="s">
        <v>213</v>
      </c>
      <c r="B42" s="3" t="str">
        <f>"呉市本通3-1-19"</f>
        <v>呉市本通3-1-19</v>
      </c>
      <c r="C42" s="4">
        <v>46387</v>
      </c>
    </row>
    <row r="43" spans="1:3" s="1" customFormat="1" ht="18.75" customHeight="1" x14ac:dyDescent="0.4">
      <c r="A43" s="3" t="s">
        <v>1182</v>
      </c>
      <c r="B43" s="3" t="str">
        <f>"呉市本通5-9-17-201"</f>
        <v>呉市本通5-9-17-201</v>
      </c>
      <c r="C43" s="4">
        <v>46387</v>
      </c>
    </row>
    <row r="44" spans="1:3" s="1" customFormat="1" ht="18.75" customHeight="1" x14ac:dyDescent="0.4">
      <c r="A44" s="3" t="s">
        <v>568</v>
      </c>
      <c r="B44" s="3" t="str">
        <f>"呉市和庄1-2-13"</f>
        <v>呉市和庄1-2-13</v>
      </c>
      <c r="C44" s="4">
        <v>47483</v>
      </c>
    </row>
    <row r="45" spans="1:3" s="1" customFormat="1" ht="18.75" customHeight="1" x14ac:dyDescent="0.4">
      <c r="A45" s="3" t="s">
        <v>701</v>
      </c>
      <c r="B45" s="3" t="str">
        <f>"呉市和庄1-3-1"</f>
        <v>呉市和庄1-3-1</v>
      </c>
      <c r="C45" s="4">
        <v>46387</v>
      </c>
    </row>
    <row r="46" spans="1:3" s="1" customFormat="1" ht="18.75" customHeight="1" x14ac:dyDescent="0.4">
      <c r="A46" s="3" t="s">
        <v>155</v>
      </c>
      <c r="B46" s="3" t="str">
        <f>"呉市阿賀中央4-5-25"</f>
        <v>呉市阿賀中央4-5-25</v>
      </c>
      <c r="C46" s="4">
        <v>46022</v>
      </c>
    </row>
    <row r="47" spans="1:3" s="1" customFormat="1" ht="18.75" customHeight="1" x14ac:dyDescent="0.4">
      <c r="A47" s="3" t="s">
        <v>165</v>
      </c>
      <c r="B47" s="3" t="str">
        <f>"呉市阿賀中央6-2-11"</f>
        <v>呉市阿賀中央6-2-11</v>
      </c>
      <c r="C47" s="4">
        <v>47118</v>
      </c>
    </row>
    <row r="48" spans="1:3" s="1" customFormat="1" ht="18.75" customHeight="1" x14ac:dyDescent="0.4">
      <c r="A48" s="3" t="s">
        <v>258</v>
      </c>
      <c r="B48" s="3" t="str">
        <f>"呉市阿賀中央6-2-1-2F"</f>
        <v>呉市阿賀中央6-2-1-2F</v>
      </c>
      <c r="C48" s="4">
        <v>46752</v>
      </c>
    </row>
    <row r="49" spans="1:3" s="1" customFormat="1" ht="18.75" customHeight="1" x14ac:dyDescent="0.4">
      <c r="A49" s="3" t="s">
        <v>84</v>
      </c>
      <c r="B49" s="3" t="str">
        <f>"呉市阿賀中央6-7-24"</f>
        <v>呉市阿賀中央6-7-24</v>
      </c>
      <c r="C49" s="4">
        <v>46387</v>
      </c>
    </row>
    <row r="50" spans="1:3" s="1" customFormat="1" ht="18.75" customHeight="1" x14ac:dyDescent="0.4">
      <c r="A50" s="3" t="s">
        <v>80</v>
      </c>
      <c r="B50" s="3" t="str">
        <f>"呉市阿賀中央8-5-9"</f>
        <v>呉市阿賀中央8-5-9</v>
      </c>
      <c r="C50" s="4">
        <v>46387</v>
      </c>
    </row>
    <row r="51" spans="1:3" s="1" customFormat="1" ht="18.75" customHeight="1" x14ac:dyDescent="0.4">
      <c r="A51" s="3" t="s">
        <v>251</v>
      </c>
      <c r="B51" s="3" t="str">
        <f>"呉市阿賀南5-2-10"</f>
        <v>呉市阿賀南5-2-10</v>
      </c>
      <c r="C51" s="4">
        <v>46387</v>
      </c>
    </row>
    <row r="52" spans="1:3" s="1" customFormat="1" ht="18.75" customHeight="1" x14ac:dyDescent="0.4">
      <c r="A52" s="3" t="s">
        <v>77</v>
      </c>
      <c r="B52" s="3" t="str">
        <f>"呉市阿賀北1-14-15"</f>
        <v>呉市阿賀北1-14-15</v>
      </c>
      <c r="C52" s="4">
        <v>46387</v>
      </c>
    </row>
    <row r="53" spans="1:3" s="1" customFormat="1" ht="18.75" customHeight="1" x14ac:dyDescent="0.4">
      <c r="A53" s="3" t="s">
        <v>229</v>
      </c>
      <c r="B53" s="3" t="str">
        <f>"呉市阿賀北1-15-45"</f>
        <v>呉市阿賀北1-15-45</v>
      </c>
      <c r="C53" s="4">
        <v>47118</v>
      </c>
    </row>
    <row r="54" spans="1:3" s="1" customFormat="1" ht="18.75" customHeight="1" x14ac:dyDescent="0.4">
      <c r="A54" s="3" t="s">
        <v>273</v>
      </c>
      <c r="B54" s="3" t="str">
        <f>"呉市阿賀北3-4-11"</f>
        <v>呉市阿賀北3-4-11</v>
      </c>
      <c r="C54" s="4">
        <v>46387</v>
      </c>
    </row>
    <row r="55" spans="1:3" s="1" customFormat="1" ht="18.75" customHeight="1" x14ac:dyDescent="0.4">
      <c r="A55" s="3" t="s">
        <v>140</v>
      </c>
      <c r="B55" s="3" t="str">
        <f>"呉市阿賀北5-15-3"</f>
        <v>呉市阿賀北5-15-3</v>
      </c>
      <c r="C55" s="4">
        <v>46387</v>
      </c>
    </row>
    <row r="56" spans="1:3" s="1" customFormat="1" ht="18.75" customHeight="1" x14ac:dyDescent="0.4">
      <c r="A56" s="3" t="s">
        <v>304</v>
      </c>
      <c r="B56" s="3" t="str">
        <f>"呉市安浦町安登西6-1-39"</f>
        <v>呉市安浦町安登西6-1-39</v>
      </c>
      <c r="C56" s="4">
        <v>46387</v>
      </c>
    </row>
    <row r="57" spans="1:3" s="1" customFormat="1" ht="18.75" customHeight="1" x14ac:dyDescent="0.4">
      <c r="A57" s="3" t="s">
        <v>110</v>
      </c>
      <c r="B57" s="3" t="str">
        <f>"呉市安浦町中央5-12-50"</f>
        <v>呉市安浦町中央5-12-50</v>
      </c>
      <c r="C57" s="4">
        <v>47483</v>
      </c>
    </row>
    <row r="58" spans="1:3" s="1" customFormat="1" ht="18.75" customHeight="1" x14ac:dyDescent="0.4">
      <c r="A58" s="3" t="s">
        <v>390</v>
      </c>
      <c r="B58" s="3" t="str">
        <f>"呉市安浦町中央5-2-37"</f>
        <v>呉市安浦町中央5-2-37</v>
      </c>
      <c r="C58" s="4">
        <v>46387</v>
      </c>
    </row>
    <row r="59" spans="1:3" s="1" customFormat="1" ht="18.75" customHeight="1" x14ac:dyDescent="0.4">
      <c r="A59" s="3" t="s">
        <v>293</v>
      </c>
      <c r="B59" s="3" t="str">
        <f>"呉市音戸町引地1-5-60"</f>
        <v>呉市音戸町引地1-5-60</v>
      </c>
      <c r="C59" s="4">
        <v>46387</v>
      </c>
    </row>
    <row r="60" spans="1:3" s="1" customFormat="1" ht="18.75" customHeight="1" x14ac:dyDescent="0.4">
      <c r="A60" s="3" t="s">
        <v>303</v>
      </c>
      <c r="B60" s="3" t="str">
        <f>"呉市音戸町高須3-7-15"</f>
        <v>呉市音戸町高須3-7-15</v>
      </c>
      <c r="C60" s="4">
        <v>46387</v>
      </c>
    </row>
    <row r="61" spans="1:3" s="1" customFormat="1" ht="18.75" customHeight="1" x14ac:dyDescent="0.4">
      <c r="A61" s="3" t="s">
        <v>188</v>
      </c>
      <c r="B61" s="3" t="str">
        <f>"呉市音戸町高須3-7-2"</f>
        <v>呉市音戸町高須3-7-2</v>
      </c>
      <c r="C61" s="4">
        <v>46387</v>
      </c>
    </row>
    <row r="62" spans="1:3" s="1" customFormat="1" ht="18.75" customHeight="1" x14ac:dyDescent="0.4">
      <c r="A62" s="3" t="s">
        <v>160</v>
      </c>
      <c r="B62" s="3" t="str">
        <f>"呉市音戸町田原2-2-8"</f>
        <v>呉市音戸町田原2-2-8</v>
      </c>
      <c r="C62" s="4">
        <v>46387</v>
      </c>
    </row>
    <row r="63" spans="1:3" s="1" customFormat="1" ht="18.75" customHeight="1" x14ac:dyDescent="0.4">
      <c r="A63" s="3" t="s">
        <v>1032</v>
      </c>
      <c r="B63" s="3" t="str">
        <f>"呉市音戸町渡子2-27-3"</f>
        <v>呉市音戸町渡子2-27-3</v>
      </c>
      <c r="C63" s="4">
        <v>47118</v>
      </c>
    </row>
    <row r="64" spans="1:3" s="1" customFormat="1" ht="18.75" customHeight="1" x14ac:dyDescent="0.4">
      <c r="A64" s="3" t="s">
        <v>833</v>
      </c>
      <c r="B64" s="3" t="str">
        <f>"呉市音戸町藤脇2-19-3"</f>
        <v>呉市音戸町藤脇2-19-3</v>
      </c>
      <c r="C64" s="4">
        <v>46387</v>
      </c>
    </row>
    <row r="65" spans="1:3" s="1" customFormat="1" ht="18.75" customHeight="1" x14ac:dyDescent="0.4">
      <c r="A65" s="3" t="s">
        <v>919</v>
      </c>
      <c r="B65" s="3" t="str">
        <f>"呉市音戸町南隠渡1-5-14"</f>
        <v>呉市音戸町南隠渡1-5-14</v>
      </c>
      <c r="C65" s="4">
        <v>47848</v>
      </c>
    </row>
    <row r="66" spans="1:3" s="1" customFormat="1" ht="18.75" customHeight="1" x14ac:dyDescent="0.4">
      <c r="A66" s="3" t="s">
        <v>1033</v>
      </c>
      <c r="B66" s="3" t="str">
        <f>"呉市音戸町波多見5-16-12"</f>
        <v>呉市音戸町波多見5-16-12</v>
      </c>
      <c r="C66" s="4">
        <v>46387</v>
      </c>
    </row>
    <row r="67" spans="1:3" s="1" customFormat="1" ht="18.75" customHeight="1" x14ac:dyDescent="0.4">
      <c r="A67" s="3" t="s">
        <v>289</v>
      </c>
      <c r="B67" s="3" t="str">
        <f>"呉市下蒲刈町下島2120-4"</f>
        <v>呉市下蒲刈町下島2120-4</v>
      </c>
      <c r="C67" s="4">
        <v>46387</v>
      </c>
    </row>
    <row r="68" spans="1:3" s="1" customFormat="1" ht="18.75" customHeight="1" x14ac:dyDescent="0.4">
      <c r="A68" s="3" t="s">
        <v>487</v>
      </c>
      <c r="B68" s="3" t="s">
        <v>865</v>
      </c>
      <c r="C68" s="4">
        <v>46387</v>
      </c>
    </row>
    <row r="69" spans="1:3" s="1" customFormat="1" ht="18.75" customHeight="1" x14ac:dyDescent="0.4">
      <c r="A69" s="3" t="s">
        <v>386</v>
      </c>
      <c r="B69" s="3" t="str">
        <f>"呉市海岸1-3-4"</f>
        <v>呉市海岸1-3-4</v>
      </c>
      <c r="C69" s="4">
        <v>46752</v>
      </c>
    </row>
    <row r="70" spans="1:3" s="1" customFormat="1" ht="18.75" customHeight="1" x14ac:dyDescent="0.4">
      <c r="A70" s="3" t="s">
        <v>238</v>
      </c>
      <c r="B70" s="3" t="str">
        <f>"呉市海岸2-16-12"</f>
        <v>呉市海岸2-16-12</v>
      </c>
      <c r="C70" s="4">
        <v>46387</v>
      </c>
    </row>
    <row r="71" spans="1:3" s="1" customFormat="1" ht="18.75" customHeight="1" x14ac:dyDescent="0.4">
      <c r="A71" s="3" t="s">
        <v>794</v>
      </c>
      <c r="B71" s="3" t="s">
        <v>1034</v>
      </c>
      <c r="C71" s="4">
        <v>46387</v>
      </c>
    </row>
    <row r="72" spans="1:3" s="1" customFormat="1" ht="18.75" customHeight="1" x14ac:dyDescent="0.4">
      <c r="A72" s="3" t="s">
        <v>361</v>
      </c>
      <c r="B72" s="3" t="str">
        <f>"呉市吉浦宮花町7-11"</f>
        <v>呉市吉浦宮花町7-11</v>
      </c>
      <c r="C72" s="4">
        <v>46387</v>
      </c>
    </row>
    <row r="73" spans="1:3" s="1" customFormat="1" ht="18.75" customHeight="1" x14ac:dyDescent="0.4">
      <c r="A73" s="3" t="s">
        <v>341</v>
      </c>
      <c r="B73" s="3" t="str">
        <f>"呉市吉浦中町1-9-12"</f>
        <v>呉市吉浦中町1-9-12</v>
      </c>
      <c r="C73" s="4">
        <v>46387</v>
      </c>
    </row>
    <row r="74" spans="1:3" s="1" customFormat="1" ht="18.75" customHeight="1" x14ac:dyDescent="0.4">
      <c r="A74" s="3" t="s">
        <v>174</v>
      </c>
      <c r="B74" s="3" t="str">
        <f>"呉市吉浦東本町1-7-4"</f>
        <v>呉市吉浦東本町1-7-4</v>
      </c>
      <c r="C74" s="4">
        <v>46387</v>
      </c>
    </row>
    <row r="75" spans="1:3" s="1" customFormat="1" ht="18.75" customHeight="1" x14ac:dyDescent="0.4">
      <c r="A75" s="3" t="s">
        <v>230</v>
      </c>
      <c r="B75" s="3" t="str">
        <f>"呉市吉浦本町1-2-3"</f>
        <v>呉市吉浦本町1-2-3</v>
      </c>
      <c r="C75" s="4">
        <v>46387</v>
      </c>
    </row>
    <row r="76" spans="1:3" s="1" customFormat="1" ht="18.75" customHeight="1" x14ac:dyDescent="0.4">
      <c r="A76" s="3" t="s">
        <v>256</v>
      </c>
      <c r="B76" s="3" t="str">
        <f>"呉市宮原11-3-14"</f>
        <v>呉市宮原11-3-14</v>
      </c>
      <c r="C76" s="4">
        <v>46387</v>
      </c>
    </row>
    <row r="77" spans="1:3" s="1" customFormat="1" ht="18.75" customHeight="1" x14ac:dyDescent="0.4">
      <c r="A77" s="3" t="s">
        <v>64</v>
      </c>
      <c r="B77" s="3" t="str">
        <f>"呉市宮原12-12-28"</f>
        <v>呉市宮原12-12-28</v>
      </c>
      <c r="C77" s="4">
        <v>46387</v>
      </c>
    </row>
    <row r="78" spans="1:3" s="1" customFormat="1" ht="18.75" customHeight="1" x14ac:dyDescent="0.4">
      <c r="A78" s="3" t="s">
        <v>350</v>
      </c>
      <c r="B78" s="3" t="str">
        <f>"呉市宮原13-2-12"</f>
        <v>呉市宮原13-2-12</v>
      </c>
      <c r="C78" s="4">
        <v>46387</v>
      </c>
    </row>
    <row r="79" spans="1:3" s="1" customFormat="1" ht="18.75" customHeight="1" x14ac:dyDescent="0.4">
      <c r="A79" s="3" t="s">
        <v>308</v>
      </c>
      <c r="B79" s="3" t="str">
        <f>"呉市宮原2-6-6"</f>
        <v>呉市宮原2-6-6</v>
      </c>
      <c r="C79" s="4">
        <v>46387</v>
      </c>
    </row>
    <row r="80" spans="1:3" s="1" customFormat="1" ht="18.75" customHeight="1" x14ac:dyDescent="0.4">
      <c r="A80" s="3" t="s">
        <v>75</v>
      </c>
      <c r="B80" s="3" t="str">
        <f>"呉市郷原町2379-42"</f>
        <v>呉市郷原町2379-42</v>
      </c>
      <c r="C80" s="4">
        <v>46387</v>
      </c>
    </row>
    <row r="81" spans="1:3" s="1" customFormat="1" ht="18.75" customHeight="1" x14ac:dyDescent="0.4">
      <c r="A81" s="3" t="s">
        <v>368</v>
      </c>
      <c r="B81" s="3" t="str">
        <f>"呉市警固屋4-2-11"</f>
        <v>呉市警固屋4-2-11</v>
      </c>
      <c r="C81" s="4">
        <v>46387</v>
      </c>
    </row>
    <row r="82" spans="1:3" s="1" customFormat="1" ht="18.75" customHeight="1" x14ac:dyDescent="0.4">
      <c r="A82" s="3" t="s">
        <v>187</v>
      </c>
      <c r="B82" s="3" t="str">
        <f>"呉市警固屋4-2-28"</f>
        <v>呉市警固屋4-2-28</v>
      </c>
      <c r="C82" s="4">
        <v>47118</v>
      </c>
    </row>
    <row r="83" spans="1:3" s="1" customFormat="1" ht="18.75" customHeight="1" x14ac:dyDescent="0.4">
      <c r="A83" s="3" t="s">
        <v>172</v>
      </c>
      <c r="B83" s="3" t="str">
        <f>"呉市警固屋5-4-14"</f>
        <v>呉市警固屋5-4-14</v>
      </c>
      <c r="C83" s="4">
        <v>47118</v>
      </c>
    </row>
    <row r="84" spans="1:3" s="1" customFormat="1" ht="18.75" customHeight="1" x14ac:dyDescent="0.4">
      <c r="A84" s="3" t="s">
        <v>338</v>
      </c>
      <c r="B84" s="3" t="str">
        <f>"呉市広駅前1-1-10"</f>
        <v>呉市広駅前1-1-10</v>
      </c>
      <c r="C84" s="4">
        <v>46387</v>
      </c>
    </row>
    <row r="85" spans="1:3" s="1" customFormat="1" ht="18.75" customHeight="1" x14ac:dyDescent="0.4">
      <c r="A85" s="3" t="s">
        <v>353</v>
      </c>
      <c r="B85" s="3" t="str">
        <f>"呉市広駅前1-4-58"</f>
        <v>呉市広駅前1-4-58</v>
      </c>
      <c r="C85" s="4">
        <v>46387</v>
      </c>
    </row>
    <row r="86" spans="1:3" s="1" customFormat="1" ht="18.75" customHeight="1" x14ac:dyDescent="0.4">
      <c r="A86" s="3" t="s">
        <v>169</v>
      </c>
      <c r="B86" s="3" t="str">
        <f>"呉市広駅前2-1-51"</f>
        <v>呉市広駅前2-1-51</v>
      </c>
      <c r="C86" s="4">
        <v>47118</v>
      </c>
    </row>
    <row r="87" spans="1:3" s="1" customFormat="1" ht="18.75" customHeight="1" x14ac:dyDescent="0.4">
      <c r="A87" s="3" t="s">
        <v>31</v>
      </c>
      <c r="B87" s="3" t="str">
        <f>"呉市広横路2-14-32"</f>
        <v>呉市広横路2-14-32</v>
      </c>
      <c r="C87" s="4">
        <v>46387</v>
      </c>
    </row>
    <row r="88" spans="1:3" s="1" customFormat="1" ht="18.75" customHeight="1" x14ac:dyDescent="0.4">
      <c r="A88" s="3" t="s">
        <v>96</v>
      </c>
      <c r="B88" s="3" t="str">
        <f>"呉市広古新開1-1-31"</f>
        <v>呉市広古新開1-1-31</v>
      </c>
      <c r="C88" s="4">
        <v>46387</v>
      </c>
    </row>
    <row r="89" spans="1:3" s="1" customFormat="1" ht="18.75" customHeight="1" x14ac:dyDescent="0.4">
      <c r="A89" s="3" t="s">
        <v>221</v>
      </c>
      <c r="B89" s="3" t="str">
        <f>"呉市広古新開2-5-20"</f>
        <v>呉市広古新開2-5-20</v>
      </c>
      <c r="C89" s="4">
        <v>46752</v>
      </c>
    </row>
    <row r="90" spans="1:3" s="1" customFormat="1" ht="18.75" customHeight="1" x14ac:dyDescent="0.4">
      <c r="A90" s="3" t="s">
        <v>102</v>
      </c>
      <c r="B90" s="3" t="str">
        <f>"呉市広古新開7-21-14"</f>
        <v>呉市広古新開7-21-14</v>
      </c>
      <c r="C90" s="4">
        <v>46387</v>
      </c>
    </row>
    <row r="91" spans="1:3" s="1" customFormat="1" ht="18.75" customHeight="1" x14ac:dyDescent="0.4">
      <c r="A91" s="3" t="s">
        <v>340</v>
      </c>
      <c r="B91" s="3" t="str">
        <f>"呉市広古新開7-23-9"</f>
        <v>呉市広古新開7-23-9</v>
      </c>
      <c r="C91" s="4">
        <v>46387</v>
      </c>
    </row>
    <row r="92" spans="1:3" s="1" customFormat="1" ht="18.75" customHeight="1" x14ac:dyDescent="0.4">
      <c r="A92" s="3" t="s">
        <v>392</v>
      </c>
      <c r="B92" s="3" t="str">
        <f>"呉市広古新開7-23-9"</f>
        <v>呉市広古新開7-23-9</v>
      </c>
      <c r="C92" s="4">
        <v>46387</v>
      </c>
    </row>
    <row r="93" spans="1:3" s="1" customFormat="1" ht="18.75" customHeight="1" x14ac:dyDescent="0.4">
      <c r="A93" s="3" t="s">
        <v>359</v>
      </c>
      <c r="B93" s="3" t="str">
        <f>"呉市広古新開7-24-3-202"</f>
        <v>呉市広古新開7-24-3-202</v>
      </c>
      <c r="C93" s="4">
        <v>46387</v>
      </c>
    </row>
    <row r="94" spans="1:3" s="1" customFormat="1" ht="18.75" customHeight="1" x14ac:dyDescent="0.4">
      <c r="A94" s="3" t="s">
        <v>395</v>
      </c>
      <c r="B94" s="3" t="str">
        <f>"呉市広古新開7-24-3-302"</f>
        <v>呉市広古新開7-24-3-302</v>
      </c>
      <c r="C94" s="4">
        <v>47848</v>
      </c>
    </row>
    <row r="95" spans="1:3" s="1" customFormat="1" ht="18.75" customHeight="1" x14ac:dyDescent="0.4">
      <c r="A95" s="3" t="s">
        <v>318</v>
      </c>
      <c r="B95" s="3" t="str">
        <f>"呉市広古新開8-32-4"</f>
        <v>呉市広古新開8-32-4</v>
      </c>
      <c r="C95" s="4">
        <v>46387</v>
      </c>
    </row>
    <row r="96" spans="1:3" s="1" customFormat="1" ht="18.75" customHeight="1" x14ac:dyDescent="0.4">
      <c r="A96" s="3" t="s">
        <v>363</v>
      </c>
      <c r="B96" s="3" t="str">
        <f>"呉市広古新聞7-24-3-301"</f>
        <v>呉市広古新聞7-24-3-301</v>
      </c>
      <c r="C96" s="4">
        <v>46387</v>
      </c>
    </row>
    <row r="97" spans="1:3" s="1" customFormat="1" ht="18.75" customHeight="1" x14ac:dyDescent="0.4">
      <c r="A97" s="3" t="s">
        <v>149</v>
      </c>
      <c r="B97" s="3" t="str">
        <f>"呉市広多賀谷1-5-1"</f>
        <v>呉市広多賀谷1-5-1</v>
      </c>
      <c r="C97" s="4">
        <v>46387</v>
      </c>
    </row>
    <row r="98" spans="1:3" s="1" customFormat="1" ht="18.75" customHeight="1" x14ac:dyDescent="0.4">
      <c r="A98" s="3" t="s">
        <v>94</v>
      </c>
      <c r="B98" s="3" t="str">
        <f>"呉市広大新開1-2-4"</f>
        <v>呉市広大新開1-2-4</v>
      </c>
      <c r="C98" s="4">
        <v>47118</v>
      </c>
    </row>
    <row r="99" spans="1:3" s="1" customFormat="1" ht="18.75" customHeight="1" x14ac:dyDescent="0.4">
      <c r="A99" s="3" t="s">
        <v>280</v>
      </c>
      <c r="B99" s="3" t="str">
        <f>"呉市広大新開3-3-50"</f>
        <v>呉市広大新開3-3-50</v>
      </c>
      <c r="C99" s="4">
        <v>46752</v>
      </c>
    </row>
    <row r="100" spans="1:3" s="1" customFormat="1" ht="18.75" customHeight="1" x14ac:dyDescent="0.4">
      <c r="A100" s="3" t="s">
        <v>201</v>
      </c>
      <c r="B100" s="3" t="str">
        <f>"呉市広中新開1-11-9"</f>
        <v>呉市広中新開1-11-9</v>
      </c>
      <c r="C100" s="4">
        <v>46387</v>
      </c>
    </row>
    <row r="101" spans="1:3" s="1" customFormat="1" ht="18.75" customHeight="1" x14ac:dyDescent="0.4">
      <c r="A101" s="3" t="s">
        <v>163</v>
      </c>
      <c r="B101" s="3" t="str">
        <f>"呉市広中町15-25"</f>
        <v>呉市広中町15-25</v>
      </c>
      <c r="C101" s="4">
        <v>46387</v>
      </c>
    </row>
    <row r="102" spans="1:3" s="1" customFormat="1" ht="18.75" customHeight="1" x14ac:dyDescent="0.4">
      <c r="A102" s="3" t="s">
        <v>218</v>
      </c>
      <c r="B102" s="3" t="str">
        <f>"呉市広白石4-7-22"</f>
        <v>呉市広白石4-7-22</v>
      </c>
      <c r="C102" s="4">
        <v>46387</v>
      </c>
    </row>
    <row r="103" spans="1:3" s="1" customFormat="1" ht="18.75" customHeight="1" x14ac:dyDescent="0.4">
      <c r="A103" s="3" t="s">
        <v>400</v>
      </c>
      <c r="B103" s="3" t="str">
        <f>"呉市広本町2-14-38-1"</f>
        <v>呉市広本町2-14-38-1</v>
      </c>
      <c r="C103" s="4">
        <v>46022</v>
      </c>
    </row>
    <row r="104" spans="1:3" s="1" customFormat="1" ht="18.75" customHeight="1" x14ac:dyDescent="0.4">
      <c r="A104" s="3" t="s">
        <v>184</v>
      </c>
      <c r="B104" s="3" t="str">
        <f>"呉市広本町3-16-9"</f>
        <v>呉市広本町3-16-9</v>
      </c>
      <c r="C104" s="4">
        <v>47118</v>
      </c>
    </row>
    <row r="105" spans="1:3" s="1" customFormat="1" ht="18.75" customHeight="1" x14ac:dyDescent="0.4">
      <c r="A105" s="3" t="s">
        <v>275</v>
      </c>
      <c r="B105" s="3" t="str">
        <f>"呉市広本町3-17-21"</f>
        <v>呉市広本町3-17-21</v>
      </c>
      <c r="C105" s="4">
        <v>46387</v>
      </c>
    </row>
    <row r="106" spans="1:3" s="1" customFormat="1" ht="18.75" customHeight="1" x14ac:dyDescent="0.4">
      <c r="A106" s="3" t="s">
        <v>320</v>
      </c>
      <c r="B106" s="3" t="str">
        <f>"呉市広本町3-18-12"</f>
        <v>呉市広本町3-18-12</v>
      </c>
      <c r="C106" s="4">
        <v>46387</v>
      </c>
    </row>
    <row r="107" spans="1:3" s="1" customFormat="1" ht="18.75" customHeight="1" x14ac:dyDescent="0.4">
      <c r="A107" s="3" t="s">
        <v>69</v>
      </c>
      <c r="B107" s="3" t="str">
        <f>"呉市広本町3-22-26"</f>
        <v>呉市広本町3-22-26</v>
      </c>
      <c r="C107" s="4">
        <v>46387</v>
      </c>
    </row>
    <row r="108" spans="1:3" s="1" customFormat="1" ht="18.75" customHeight="1" x14ac:dyDescent="0.4">
      <c r="A108" s="3" t="s">
        <v>295</v>
      </c>
      <c r="B108" s="3" t="str">
        <f>"呉市広本町3-6-17"</f>
        <v>呉市広本町3-6-17</v>
      </c>
      <c r="C108" s="4">
        <v>46387</v>
      </c>
    </row>
    <row r="109" spans="1:3" s="1" customFormat="1" ht="18.75" customHeight="1" x14ac:dyDescent="0.4">
      <c r="A109" s="3" t="s">
        <v>90</v>
      </c>
      <c r="B109" s="3" t="str">
        <f>"呉市広両谷2-6-11"</f>
        <v>呉市広両谷2-6-11</v>
      </c>
      <c r="C109" s="4">
        <v>46752</v>
      </c>
    </row>
    <row r="110" spans="1:3" s="1" customFormat="1" ht="18.75" customHeight="1" x14ac:dyDescent="0.4">
      <c r="A110" s="3" t="s">
        <v>1335</v>
      </c>
      <c r="B110" s="3" t="str">
        <f>"呉市三条1-3-14"</f>
        <v>呉市三条1-3-14</v>
      </c>
      <c r="C110" s="4">
        <v>47483</v>
      </c>
    </row>
    <row r="111" spans="1:3" s="1" customFormat="1" ht="18.75" customHeight="1" x14ac:dyDescent="0.4">
      <c r="A111" s="3" t="s">
        <v>143</v>
      </c>
      <c r="B111" s="3" t="str">
        <f>"呉市三条2-1-13"</f>
        <v>呉市三条2-1-13</v>
      </c>
      <c r="C111" s="4">
        <v>46387</v>
      </c>
    </row>
    <row r="112" spans="1:3" s="1" customFormat="1" ht="18.75" customHeight="1" x14ac:dyDescent="0.4">
      <c r="A112" s="3" t="s">
        <v>286</v>
      </c>
      <c r="B112" s="3" t="str">
        <f>"呉市三条3-2-5"</f>
        <v>呉市三条3-2-5</v>
      </c>
      <c r="C112" s="4">
        <v>46752</v>
      </c>
    </row>
    <row r="113" spans="1:3" s="1" customFormat="1" ht="18.75" customHeight="1" x14ac:dyDescent="0.4">
      <c r="A113" s="3" t="s">
        <v>126</v>
      </c>
      <c r="B113" s="3" t="str">
        <f>"呉市三条3-4-25"</f>
        <v>呉市三条3-4-25</v>
      </c>
      <c r="C113" s="4">
        <v>46387</v>
      </c>
    </row>
    <row r="114" spans="1:3" s="1" customFormat="1" ht="18.75" customHeight="1" x14ac:dyDescent="0.4">
      <c r="A114" s="3" t="s">
        <v>82</v>
      </c>
      <c r="B114" s="3" t="str">
        <f>"呉市三条3-5-22"</f>
        <v>呉市三条3-5-22</v>
      </c>
      <c r="C114" s="4">
        <v>46387</v>
      </c>
    </row>
    <row r="115" spans="1:3" s="1" customFormat="1" ht="18.75" customHeight="1" x14ac:dyDescent="0.4">
      <c r="A115" s="3" t="s">
        <v>309</v>
      </c>
      <c r="B115" s="3" t="str">
        <f>"呉市三条4-4-12"</f>
        <v>呉市三条4-4-12</v>
      </c>
      <c r="C115" s="4">
        <v>46387</v>
      </c>
    </row>
    <row r="116" spans="1:3" s="1" customFormat="1" ht="18.75" customHeight="1" x14ac:dyDescent="0.4">
      <c r="A116" s="3" t="s">
        <v>239</v>
      </c>
      <c r="B116" s="3" t="str">
        <f>"呉市焼山西2-1-35"</f>
        <v>呉市焼山西2-1-35</v>
      </c>
      <c r="C116" s="4">
        <v>46387</v>
      </c>
    </row>
    <row r="117" spans="1:3" s="1" customFormat="1" ht="18.75" customHeight="1" x14ac:dyDescent="0.4">
      <c r="A117" s="3" t="s">
        <v>208</v>
      </c>
      <c r="B117" s="3" t="str">
        <f>"呉市焼山中央1-10-9"</f>
        <v>呉市焼山中央1-10-9</v>
      </c>
      <c r="C117" s="4">
        <v>47118</v>
      </c>
    </row>
    <row r="118" spans="1:3" s="1" customFormat="1" ht="18.75" customHeight="1" x14ac:dyDescent="0.4">
      <c r="A118" s="3" t="s">
        <v>252</v>
      </c>
      <c r="B118" s="3" t="str">
        <f>"呉市焼山中央1-2-25"</f>
        <v>呉市焼山中央1-2-25</v>
      </c>
      <c r="C118" s="4">
        <v>47118</v>
      </c>
    </row>
    <row r="119" spans="1:3" s="1" customFormat="1" ht="18.75" customHeight="1" x14ac:dyDescent="0.4">
      <c r="A119" s="3" t="s">
        <v>41</v>
      </c>
      <c r="B119" s="3" t="str">
        <f>"呉市焼山中央2-1-1"</f>
        <v>呉市焼山中央2-1-1</v>
      </c>
      <c r="C119" s="4">
        <v>46387</v>
      </c>
    </row>
    <row r="120" spans="1:3" s="1" customFormat="1" ht="18.75" customHeight="1" x14ac:dyDescent="0.4">
      <c r="A120" s="3" t="s">
        <v>248</v>
      </c>
      <c r="B120" s="3" t="str">
        <f>"呉市焼山中央2-9-46"</f>
        <v>呉市焼山中央2-9-46</v>
      </c>
      <c r="C120" s="4">
        <v>46752</v>
      </c>
    </row>
    <row r="121" spans="1:3" s="1" customFormat="1" ht="18.75" customHeight="1" x14ac:dyDescent="0.4">
      <c r="A121" s="3" t="s">
        <v>297</v>
      </c>
      <c r="B121" s="3" t="str">
        <f>"呉市焼山南1-8-23"</f>
        <v>呉市焼山南1-8-23</v>
      </c>
      <c r="C121" s="4">
        <v>47848</v>
      </c>
    </row>
    <row r="122" spans="1:3" s="1" customFormat="1" ht="18.75" customHeight="1" x14ac:dyDescent="0.4">
      <c r="A122" s="3" t="s">
        <v>241</v>
      </c>
      <c r="B122" s="3" t="str">
        <f>"呉市焼山北1-7-8"</f>
        <v>呉市焼山北1-7-8</v>
      </c>
      <c r="C122" s="4">
        <v>46387</v>
      </c>
    </row>
    <row r="123" spans="1:3" s="1" customFormat="1" ht="18.75" customHeight="1" x14ac:dyDescent="0.4">
      <c r="A123" s="3" t="s">
        <v>358</v>
      </c>
      <c r="B123" s="3" t="str">
        <f>"呉市焼山本庄4-8-16"</f>
        <v>呉市焼山本庄4-8-16</v>
      </c>
      <c r="C123" s="4">
        <v>47118</v>
      </c>
    </row>
    <row r="124" spans="1:3" s="1" customFormat="1" ht="18.75" customHeight="1" x14ac:dyDescent="0.4">
      <c r="A124" s="3" t="s">
        <v>312</v>
      </c>
      <c r="B124" s="3" t="str">
        <f>"呉市神山3-3-3"</f>
        <v>呉市神山3-3-3</v>
      </c>
      <c r="C124" s="4">
        <v>46387</v>
      </c>
    </row>
    <row r="125" spans="1:3" s="1" customFormat="1" ht="18.75" customHeight="1" x14ac:dyDescent="0.4">
      <c r="A125" s="3" t="s">
        <v>216</v>
      </c>
      <c r="B125" s="3" t="str">
        <f>"呉市仁方西神町6-13"</f>
        <v>呉市仁方西神町6-13</v>
      </c>
      <c r="C125" s="4">
        <v>46387</v>
      </c>
    </row>
    <row r="126" spans="1:3" s="1" customFormat="1" ht="18.75" customHeight="1" x14ac:dyDescent="0.4">
      <c r="A126" s="3" t="s">
        <v>173</v>
      </c>
      <c r="B126" s="3" t="str">
        <f>"呉市仁方本町2-9-29"</f>
        <v>呉市仁方本町2-9-29</v>
      </c>
      <c r="C126" s="4">
        <v>46387</v>
      </c>
    </row>
    <row r="127" spans="1:3" s="1" customFormat="1" ht="18.75" customHeight="1" x14ac:dyDescent="0.4">
      <c r="A127" s="3" t="s">
        <v>288</v>
      </c>
      <c r="B127" s="3" t="str">
        <f>"呉市西中央1-3-10-4F"</f>
        <v>呉市西中央1-3-10-4F</v>
      </c>
      <c r="C127" s="4">
        <v>46387</v>
      </c>
    </row>
    <row r="128" spans="1:3" s="1" customFormat="1" ht="18.75" customHeight="1" x14ac:dyDescent="0.4">
      <c r="A128" s="3" t="s">
        <v>134</v>
      </c>
      <c r="B128" s="3" t="str">
        <f>"呉市西中央1-3-10-5F"</f>
        <v>呉市西中央1-3-10-5F</v>
      </c>
      <c r="C128" s="4">
        <v>46752</v>
      </c>
    </row>
    <row r="129" spans="1:3" s="1" customFormat="1" ht="18.75" customHeight="1" x14ac:dyDescent="0.4">
      <c r="A129" s="3" t="s">
        <v>137</v>
      </c>
      <c r="B129" s="3" t="str">
        <f>"呉市西中央1-3-9-4F"</f>
        <v>呉市西中央1-3-9-4F</v>
      </c>
      <c r="C129" s="4">
        <v>46387</v>
      </c>
    </row>
    <row r="130" spans="1:3" s="1" customFormat="1" ht="18.75" customHeight="1" x14ac:dyDescent="0.4">
      <c r="A130" s="3" t="s">
        <v>406</v>
      </c>
      <c r="B130" s="3" t="str">
        <f>"呉市西中央2-1-6"</f>
        <v>呉市西中央2-1-6</v>
      </c>
      <c r="C130" s="4">
        <v>46752</v>
      </c>
    </row>
    <row r="131" spans="1:3" s="1" customFormat="1" ht="18.75" customHeight="1" x14ac:dyDescent="0.4">
      <c r="A131" s="3" t="s">
        <v>34</v>
      </c>
      <c r="B131" s="3" t="str">
        <f>"呉市西中央2-3-28"</f>
        <v>呉市西中央2-3-28</v>
      </c>
      <c r="C131" s="4">
        <v>46387</v>
      </c>
    </row>
    <row r="132" spans="1:3" s="1" customFormat="1" ht="18.75" customHeight="1" x14ac:dyDescent="0.4">
      <c r="A132" s="3" t="s">
        <v>665</v>
      </c>
      <c r="B132" s="3" t="str">
        <f>"呉市青山町3-1"</f>
        <v>呉市青山町3-1</v>
      </c>
      <c r="C132" s="4">
        <v>46387</v>
      </c>
    </row>
    <row r="133" spans="1:3" s="1" customFormat="1" ht="18.75" customHeight="1" x14ac:dyDescent="0.4">
      <c r="A133" s="3" t="s">
        <v>1124</v>
      </c>
      <c r="B133" s="3" t="str">
        <f>"呉市川尻町西2-11-15"</f>
        <v>呉市川尻町西2-11-15</v>
      </c>
      <c r="C133" s="4">
        <v>46752</v>
      </c>
    </row>
    <row r="134" spans="1:3" s="1" customFormat="1" ht="18.75" customHeight="1" x14ac:dyDescent="0.4">
      <c r="A134" s="3" t="s">
        <v>1125</v>
      </c>
      <c r="B134" s="3" t="str">
        <f>"呉市川尻町西2-4-28"</f>
        <v>呉市川尻町西2-4-28</v>
      </c>
      <c r="C134" s="4">
        <v>46387</v>
      </c>
    </row>
    <row r="135" spans="1:3" s="1" customFormat="1" ht="18.75" customHeight="1" x14ac:dyDescent="0.4">
      <c r="A135" s="3" t="s">
        <v>166</v>
      </c>
      <c r="B135" s="3" t="str">
        <f>"呉市川尻町西5-1-20"</f>
        <v>呉市川尻町西5-1-20</v>
      </c>
      <c r="C135" s="4">
        <v>46387</v>
      </c>
    </row>
    <row r="136" spans="1:3" s="1" customFormat="1" ht="18.75" customHeight="1" x14ac:dyDescent="0.4">
      <c r="A136" s="3" t="s">
        <v>1128</v>
      </c>
      <c r="B136" s="3" t="str">
        <f>"呉市川尻町東1-10-12"</f>
        <v>呉市川尻町東1-10-12</v>
      </c>
      <c r="C136" s="4">
        <v>47118</v>
      </c>
    </row>
    <row r="137" spans="1:3" s="1" customFormat="1" ht="18.75" customHeight="1" x14ac:dyDescent="0.4">
      <c r="A137" s="3" t="s">
        <v>1</v>
      </c>
      <c r="B137" s="3" t="str">
        <f>"呉市川尻町東1-21-1"</f>
        <v>呉市川尻町東1-21-1</v>
      </c>
      <c r="C137" s="4">
        <v>47118</v>
      </c>
    </row>
    <row r="138" spans="1:3" s="1" customFormat="1" ht="18.75" customHeight="1" x14ac:dyDescent="0.4">
      <c r="A138" s="3" t="s">
        <v>1036</v>
      </c>
      <c r="B138" s="3" t="str">
        <f>"呉市倉橋町7382-2"</f>
        <v>呉市倉橋町7382-2</v>
      </c>
      <c r="C138" s="4">
        <v>46387</v>
      </c>
    </row>
    <row r="139" spans="1:3" s="1" customFormat="1" ht="18.75" customHeight="1" x14ac:dyDescent="0.4">
      <c r="A139" s="3" t="s">
        <v>192</v>
      </c>
      <c r="B139" s="3" t="str">
        <f>"呉市中央1-3-1-2F"</f>
        <v>呉市中央1-3-1-2F</v>
      </c>
      <c r="C139" s="4">
        <v>46387</v>
      </c>
    </row>
    <row r="140" spans="1:3" s="1" customFormat="1" ht="18.75" customHeight="1" x14ac:dyDescent="0.4">
      <c r="A140" s="3" t="s">
        <v>225</v>
      </c>
      <c r="B140" s="3" t="str">
        <f>"呉市中央1-4-2"</f>
        <v>呉市中央1-4-2</v>
      </c>
      <c r="C140" s="4">
        <v>46387</v>
      </c>
    </row>
    <row r="141" spans="1:3" s="1" customFormat="1" ht="18.75" customHeight="1" x14ac:dyDescent="0.4">
      <c r="A141" s="3" t="s">
        <v>332</v>
      </c>
      <c r="B141" s="3" t="str">
        <f>"呉市中央1-5-15-2F"</f>
        <v>呉市中央1-5-15-2F</v>
      </c>
      <c r="C141" s="4">
        <v>46387</v>
      </c>
    </row>
    <row r="142" spans="1:3" s="1" customFormat="1" ht="18.75" customHeight="1" x14ac:dyDescent="0.4">
      <c r="A142" s="3" t="s">
        <v>271</v>
      </c>
      <c r="B142" s="3" t="str">
        <f>"呉市中央1-5-21"</f>
        <v>呉市中央1-5-21</v>
      </c>
      <c r="C142" s="4">
        <v>46387</v>
      </c>
    </row>
    <row r="143" spans="1:3" s="1" customFormat="1" ht="18.75" customHeight="1" x14ac:dyDescent="0.4">
      <c r="A143" s="3" t="s">
        <v>337</v>
      </c>
      <c r="B143" s="3" t="str">
        <f>"呉市中央2-3-22"</f>
        <v>呉市中央2-3-22</v>
      </c>
      <c r="C143" s="4">
        <v>46387</v>
      </c>
    </row>
    <row r="144" spans="1:3" s="1" customFormat="1" ht="18.75" customHeight="1" x14ac:dyDescent="0.4">
      <c r="A144" s="3" t="s">
        <v>325</v>
      </c>
      <c r="B144" s="3" t="str">
        <f>"呉市中央2-6-10-4F"</f>
        <v>呉市中央2-6-10-4F</v>
      </c>
      <c r="C144" s="4">
        <v>47118</v>
      </c>
    </row>
    <row r="145" spans="1:3" s="1" customFormat="1" ht="18.75" customHeight="1" x14ac:dyDescent="0.4">
      <c r="A145" s="3" t="s">
        <v>323</v>
      </c>
      <c r="B145" s="3" t="str">
        <f>"呉市中央2-6-13"</f>
        <v>呉市中央2-6-13</v>
      </c>
      <c r="C145" s="4">
        <v>46387</v>
      </c>
    </row>
    <row r="146" spans="1:3" s="1" customFormat="1" ht="18.75" customHeight="1" x14ac:dyDescent="0.4">
      <c r="A146" s="3" t="s">
        <v>118</v>
      </c>
      <c r="B146" s="3" t="str">
        <f>"呉市中央2-6-20"</f>
        <v>呉市中央2-6-20</v>
      </c>
      <c r="C146" s="4">
        <v>46387</v>
      </c>
    </row>
    <row r="147" spans="1:3" s="1" customFormat="1" ht="18.75" customHeight="1" x14ac:dyDescent="0.4">
      <c r="A147" s="3" t="s">
        <v>315</v>
      </c>
      <c r="B147" s="3" t="str">
        <f>"呉市中央3-1-9"</f>
        <v>呉市中央3-1-9</v>
      </c>
      <c r="C147" s="4">
        <v>46387</v>
      </c>
    </row>
    <row r="148" spans="1:3" s="1" customFormat="1" ht="18.75" customHeight="1" x14ac:dyDescent="0.4">
      <c r="A148" s="3" t="s">
        <v>109</v>
      </c>
      <c r="B148" s="3" t="str">
        <f>"呉市中央4-4-5"</f>
        <v>呉市中央4-4-5</v>
      </c>
      <c r="C148" s="4">
        <v>46387</v>
      </c>
    </row>
    <row r="149" spans="1:3" s="1" customFormat="1" ht="18.75" customHeight="1" x14ac:dyDescent="0.4">
      <c r="A149" s="3" t="s">
        <v>335</v>
      </c>
      <c r="B149" s="3" t="str">
        <f>"呉市中通1-2-3"</f>
        <v>呉市中通1-2-3</v>
      </c>
      <c r="C149" s="4">
        <v>46387</v>
      </c>
    </row>
    <row r="150" spans="1:3" s="1" customFormat="1" ht="18.75" customHeight="1" x14ac:dyDescent="0.4">
      <c r="A150" s="3" t="s">
        <v>58</v>
      </c>
      <c r="B150" s="3" t="str">
        <f>"呉市中通1-3-14-3F"</f>
        <v>呉市中通1-3-14-3F</v>
      </c>
      <c r="C150" s="4">
        <v>47848</v>
      </c>
    </row>
    <row r="151" spans="1:3" s="1" customFormat="1" ht="18.75" customHeight="1" x14ac:dyDescent="0.4">
      <c r="A151" s="3" t="s">
        <v>104</v>
      </c>
      <c r="B151" s="3" t="str">
        <f>"呉市中通1-3-8"</f>
        <v>呉市中通1-3-8</v>
      </c>
      <c r="C151" s="4">
        <v>46387</v>
      </c>
    </row>
    <row r="152" spans="1:3" s="1" customFormat="1" ht="18.75" customHeight="1" x14ac:dyDescent="0.4">
      <c r="A152" s="3" t="s">
        <v>197</v>
      </c>
      <c r="B152" s="3" t="str">
        <f>"呉市中通1-5-25"</f>
        <v>呉市中通1-5-25</v>
      </c>
      <c r="C152" s="4">
        <v>46387</v>
      </c>
    </row>
    <row r="153" spans="1:3" s="1" customFormat="1" ht="18.75" customHeight="1" x14ac:dyDescent="0.4">
      <c r="A153" s="3" t="s">
        <v>29</v>
      </c>
      <c r="B153" s="3" t="str">
        <f>"呉市中通2-1-24"</f>
        <v>呉市中通2-1-24</v>
      </c>
      <c r="C153" s="4">
        <v>46387</v>
      </c>
    </row>
    <row r="154" spans="1:3" s="1" customFormat="1" ht="18.75" customHeight="1" x14ac:dyDescent="0.4">
      <c r="A154" s="3" t="s">
        <v>403</v>
      </c>
      <c r="B154" s="3" t="str">
        <f>"呉市中通2-1-26-4F"</f>
        <v>呉市中通2-1-26-4F</v>
      </c>
      <c r="C154" s="4">
        <v>46387</v>
      </c>
    </row>
    <row r="155" spans="1:3" s="1" customFormat="1" ht="18.75" customHeight="1" x14ac:dyDescent="0.4">
      <c r="A155" s="3" t="s">
        <v>182</v>
      </c>
      <c r="B155" s="3" t="str">
        <f>"呉市中通2-8-18"</f>
        <v>呉市中通2-8-18</v>
      </c>
      <c r="C155" s="4">
        <v>46387</v>
      </c>
    </row>
    <row r="156" spans="1:3" s="1" customFormat="1" ht="18.75" customHeight="1" x14ac:dyDescent="0.4">
      <c r="A156" s="3" t="s">
        <v>156</v>
      </c>
      <c r="B156" s="3" t="str">
        <f>"呉市朝日町15-24"</f>
        <v>呉市朝日町15-24</v>
      </c>
      <c r="C156" s="4">
        <v>46387</v>
      </c>
    </row>
    <row r="157" spans="1:3" s="1" customFormat="1" ht="18.75" customHeight="1" x14ac:dyDescent="0.4">
      <c r="A157" s="3" t="s">
        <v>175</v>
      </c>
      <c r="B157" s="3" t="str">
        <f>"呉市朝日町1-8"</f>
        <v>呉市朝日町1-8</v>
      </c>
      <c r="C157" s="4">
        <v>46752</v>
      </c>
    </row>
    <row r="158" spans="1:3" s="1" customFormat="1" ht="18.75" customHeight="1" x14ac:dyDescent="0.4">
      <c r="A158" s="3" t="s">
        <v>183</v>
      </c>
      <c r="B158" s="3" t="str">
        <f>"呉市天応南町11-1"</f>
        <v>呉市天応南町11-1</v>
      </c>
      <c r="C158" s="4">
        <v>46387</v>
      </c>
    </row>
    <row r="159" spans="1:3" s="1" customFormat="1" ht="18.75" customHeight="1" x14ac:dyDescent="0.4">
      <c r="A159" s="3" t="s">
        <v>194</v>
      </c>
      <c r="B159" s="3" t="str">
        <f>"呉市東中央1-3-22"</f>
        <v>呉市東中央1-3-22</v>
      </c>
      <c r="C159" s="4">
        <v>46387</v>
      </c>
    </row>
    <row r="160" spans="1:3" s="1" customFormat="1" ht="18.75" customHeight="1" x14ac:dyDescent="0.4">
      <c r="A160" s="3" t="s">
        <v>329</v>
      </c>
      <c r="B160" s="3" t="str">
        <f>"呉市東中央1-8-20"</f>
        <v>呉市東中央1-8-20</v>
      </c>
      <c r="C160" s="4">
        <v>46387</v>
      </c>
    </row>
    <row r="161" spans="1:3" s="1" customFormat="1" ht="18.75" customHeight="1" x14ac:dyDescent="0.4">
      <c r="A161" s="3" t="s">
        <v>151</v>
      </c>
      <c r="B161" s="3" t="str">
        <f>"呉市東中央2-1-7"</f>
        <v>呉市東中央2-1-7</v>
      </c>
      <c r="C161" s="4">
        <v>46387</v>
      </c>
    </row>
    <row r="162" spans="1:3" s="1" customFormat="1" ht="18.75" customHeight="1" x14ac:dyDescent="0.4">
      <c r="A162" s="3" t="s">
        <v>245</v>
      </c>
      <c r="B162" s="3" t="str">
        <f>"呉市東中央2-5-22"</f>
        <v>呉市東中央2-5-22</v>
      </c>
      <c r="C162" s="4">
        <v>46387</v>
      </c>
    </row>
    <row r="163" spans="1:3" s="1" customFormat="1" ht="18.75" customHeight="1" x14ac:dyDescent="0.4">
      <c r="A163" s="3" t="s">
        <v>21</v>
      </c>
      <c r="B163" s="3" t="str">
        <f>"呉市東中央2-8-18"</f>
        <v>呉市東中央2-8-18</v>
      </c>
      <c r="C163" s="4">
        <v>46387</v>
      </c>
    </row>
    <row r="164" spans="1:3" s="1" customFormat="1" ht="18.75" customHeight="1" x14ac:dyDescent="0.4">
      <c r="A164" s="3" t="s">
        <v>285</v>
      </c>
      <c r="B164" s="3" t="str">
        <f>"呉市東中央4-5-25"</f>
        <v>呉市東中央4-5-25</v>
      </c>
      <c r="C164" s="4">
        <v>46752</v>
      </c>
    </row>
    <row r="165" spans="1:3" s="1" customFormat="1" ht="18.75" customHeight="1" x14ac:dyDescent="0.4">
      <c r="A165" s="3" t="s">
        <v>267</v>
      </c>
      <c r="B165" s="3" t="str">
        <f>"呉市東畑1-1-22"</f>
        <v>呉市東畑1-1-22</v>
      </c>
      <c r="C165" s="4">
        <v>46387</v>
      </c>
    </row>
    <row r="166" spans="1:3" s="1" customFormat="1" ht="18.75" customHeight="1" x14ac:dyDescent="0.4">
      <c r="A166" s="3" t="s">
        <v>287</v>
      </c>
      <c r="B166" s="3" t="str">
        <f>"呉市伏原1-3-18"</f>
        <v>呉市伏原1-3-18</v>
      </c>
      <c r="C166" s="4">
        <v>46387</v>
      </c>
    </row>
    <row r="167" spans="1:3" s="1" customFormat="1" ht="18.75" customHeight="1" x14ac:dyDescent="0.4">
      <c r="A167" s="3" t="s">
        <v>211</v>
      </c>
      <c r="B167" s="3" t="str">
        <f>"呉市伏原1-8-13"</f>
        <v>呉市伏原1-8-13</v>
      </c>
      <c r="C167" s="4">
        <v>46387</v>
      </c>
    </row>
    <row r="168" spans="1:3" s="1" customFormat="1" ht="18.75" customHeight="1" x14ac:dyDescent="0.4">
      <c r="A168" s="3" t="s">
        <v>372</v>
      </c>
      <c r="B168" s="3" t="str">
        <f>"呉市宝町2-23-1"</f>
        <v>呉市宝町2-23-1</v>
      </c>
      <c r="C168" s="4">
        <v>46387</v>
      </c>
    </row>
    <row r="169" spans="1:3" s="1" customFormat="1" ht="18.75" customHeight="1" x14ac:dyDescent="0.4">
      <c r="A169" s="3" t="s">
        <v>317</v>
      </c>
      <c r="B169" s="3" t="str">
        <f>"呉市宝町2-23-1-306"</f>
        <v>呉市宝町2-23-1-306</v>
      </c>
      <c r="C169" s="4">
        <v>46752</v>
      </c>
    </row>
    <row r="170" spans="1:3" s="1" customFormat="1" ht="18.75" customHeight="1" x14ac:dyDescent="0.4">
      <c r="A170" s="3" t="s">
        <v>305</v>
      </c>
      <c r="B170" s="3" t="str">
        <f>"呉市宝町2-50"</f>
        <v>呉市宝町2-50</v>
      </c>
      <c r="C170" s="4">
        <v>46387</v>
      </c>
    </row>
    <row r="171" spans="1:3" s="1" customFormat="1" ht="18.75" customHeight="1" x14ac:dyDescent="0.4">
      <c r="A171" s="3" t="s">
        <v>380</v>
      </c>
      <c r="B171" s="3" t="str">
        <f>"呉市宝町3-15"</f>
        <v>呉市宝町3-15</v>
      </c>
      <c r="C171" s="4">
        <v>46387</v>
      </c>
    </row>
    <row r="172" spans="1:3" s="1" customFormat="1" ht="18.75" customHeight="1" x14ac:dyDescent="0.4">
      <c r="A172" s="3" t="s">
        <v>1117</v>
      </c>
      <c r="B172" s="3" t="str">
        <f>"呉市豊町大長4976-2"</f>
        <v>呉市豊町大長4976-2</v>
      </c>
      <c r="C172" s="4">
        <v>46387</v>
      </c>
    </row>
    <row r="173" spans="1:3" s="1" customFormat="1" ht="18.75" customHeight="1" x14ac:dyDescent="0.4">
      <c r="A173" s="3" t="s">
        <v>1114</v>
      </c>
      <c r="B173" s="3" t="s">
        <v>1116</v>
      </c>
      <c r="C173" s="4">
        <v>46752</v>
      </c>
    </row>
    <row r="174" spans="1:3" s="1" customFormat="1" ht="18.75" customHeight="1" x14ac:dyDescent="0.4">
      <c r="A174" s="3" t="s">
        <v>236</v>
      </c>
      <c r="B174" s="3" t="str">
        <f>"呉市本町4-1"</f>
        <v>呉市本町4-1</v>
      </c>
      <c r="C174" s="4">
        <v>46752</v>
      </c>
    </row>
    <row r="175" spans="1:3" s="1" customFormat="1" ht="18.75" customHeight="1" x14ac:dyDescent="0.4">
      <c r="A175" s="3" t="s">
        <v>268</v>
      </c>
      <c r="B175" s="3" t="str">
        <f>"呉市本町4-2"</f>
        <v>呉市本町4-2</v>
      </c>
      <c r="C175" s="4">
        <v>46387</v>
      </c>
    </row>
    <row r="176" spans="1:3" s="1" customFormat="1" ht="18.75" customHeight="1" x14ac:dyDescent="0.4">
      <c r="A176" s="3" t="s">
        <v>371</v>
      </c>
      <c r="B176" s="3" t="str">
        <f>"呉市本町9-19"</f>
        <v>呉市本町9-19</v>
      </c>
      <c r="C176" s="4">
        <v>46387</v>
      </c>
    </row>
    <row r="177" spans="1:3" s="1" customFormat="1" ht="18.75" customHeight="1" x14ac:dyDescent="0.4">
      <c r="A177" s="3" t="s">
        <v>264</v>
      </c>
      <c r="B177" s="3" t="str">
        <f>"呉市本通1-1-1"</f>
        <v>呉市本通1-1-1</v>
      </c>
      <c r="C177" s="4">
        <v>47848</v>
      </c>
    </row>
    <row r="178" spans="1:3" s="1" customFormat="1" ht="18.75" customHeight="1" x14ac:dyDescent="0.4">
      <c r="A178" s="3" t="s">
        <v>111</v>
      </c>
      <c r="B178" s="3" t="str">
        <f>"呉市本通1-5-14"</f>
        <v>呉市本通1-5-14</v>
      </c>
      <c r="C178" s="4">
        <v>46387</v>
      </c>
    </row>
    <row r="179" spans="1:3" s="1" customFormat="1" ht="18.75" customHeight="1" x14ac:dyDescent="0.4">
      <c r="A179" s="3" t="s">
        <v>387</v>
      </c>
      <c r="B179" s="3" t="str">
        <f>"呉市本通2-6-7"</f>
        <v>呉市本通2-6-7</v>
      </c>
      <c r="C179" s="4">
        <v>46752</v>
      </c>
    </row>
    <row r="180" spans="1:3" s="1" customFormat="1" ht="18.75" customHeight="1" x14ac:dyDescent="0.4">
      <c r="A180" s="3" t="s">
        <v>114</v>
      </c>
      <c r="B180" s="3" t="str">
        <f>"呉市本通4-6-5"</f>
        <v>呉市本通4-6-5</v>
      </c>
      <c r="C180" s="4">
        <v>46387</v>
      </c>
    </row>
    <row r="181" spans="1:3" s="1" customFormat="1" ht="18.75" customHeight="1" x14ac:dyDescent="0.4">
      <c r="A181" s="3" t="s">
        <v>222</v>
      </c>
      <c r="B181" s="3" t="str">
        <f>"呉市本通4-9-5"</f>
        <v>呉市本通4-9-5</v>
      </c>
      <c r="C181" s="4">
        <v>46387</v>
      </c>
    </row>
    <row r="182" spans="1:3" s="1" customFormat="1" ht="18.75" customHeight="1" x14ac:dyDescent="0.4">
      <c r="A182" s="3" t="s">
        <v>19</v>
      </c>
      <c r="B182" s="3" t="str">
        <f>"呉市本通5-1-24"</f>
        <v>呉市本通5-1-24</v>
      </c>
      <c r="C182" s="4">
        <v>46387</v>
      </c>
    </row>
    <row r="183" spans="1:3" s="1" customFormat="1" ht="18.75" customHeight="1" x14ac:dyDescent="0.4">
      <c r="A183" s="3" t="s">
        <v>146</v>
      </c>
      <c r="B183" s="3" t="str">
        <f>"呉市本通5-5-9"</f>
        <v>呉市本通5-5-9</v>
      </c>
      <c r="C183" s="4">
        <v>47848</v>
      </c>
    </row>
    <row r="184" spans="1:3" s="1" customFormat="1" ht="18.75" customHeight="1" x14ac:dyDescent="0.4">
      <c r="A184" s="3" t="s">
        <v>54</v>
      </c>
      <c r="B184" s="3" t="str">
        <f>"呉市本通7-1-20"</f>
        <v>呉市本通7-1-20</v>
      </c>
      <c r="C184" s="4">
        <v>47118</v>
      </c>
    </row>
    <row r="185" spans="1:3" s="1" customFormat="1" ht="18.75" customHeight="1" x14ac:dyDescent="0.4">
      <c r="A185" s="3" t="s">
        <v>49</v>
      </c>
      <c r="B185" s="3" t="str">
        <f>"呉市本通7-14-3"</f>
        <v>呉市本通7-14-3</v>
      </c>
      <c r="C185" s="4">
        <v>46387</v>
      </c>
    </row>
    <row r="186" spans="1:3" s="1" customFormat="1" ht="18.75" customHeight="1" x14ac:dyDescent="0.4">
      <c r="A186" s="3" t="s">
        <v>6</v>
      </c>
      <c r="B186" s="3" t="str">
        <f>"呉市和庄登町13-3"</f>
        <v>呉市和庄登町13-3</v>
      </c>
      <c r="C186" s="4">
        <v>46843</v>
      </c>
    </row>
    <row r="187" spans="1:3" s="1" customFormat="1" ht="18.75" customHeight="1" x14ac:dyDescent="0.4">
      <c r="A187" s="3" t="s">
        <v>627</v>
      </c>
      <c r="B187" s="3" t="str">
        <f>"竹原市竹原町3078-14"</f>
        <v>竹原市竹原町3078-14</v>
      </c>
      <c r="C187" s="4">
        <v>46387</v>
      </c>
    </row>
    <row r="188" spans="1:3" s="1" customFormat="1" ht="18.75" customHeight="1" x14ac:dyDescent="0.4">
      <c r="A188" s="3" t="s">
        <v>407</v>
      </c>
      <c r="B188" s="3" t="str">
        <f>"竹原市竹原町下新開3511-7"</f>
        <v>竹原市竹原町下新開3511-7</v>
      </c>
      <c r="C188" s="4">
        <v>46387</v>
      </c>
    </row>
    <row r="189" spans="1:3" s="1" customFormat="1" ht="18.75" customHeight="1" x14ac:dyDescent="0.4">
      <c r="A189" s="3" t="s">
        <v>414</v>
      </c>
      <c r="B189" s="3" t="s">
        <v>416</v>
      </c>
      <c r="C189" s="4">
        <v>46387</v>
      </c>
    </row>
    <row r="190" spans="1:3" s="1" customFormat="1" ht="18.75" customHeight="1" x14ac:dyDescent="0.4">
      <c r="A190" s="3" t="s">
        <v>379</v>
      </c>
      <c r="B190" s="3" t="s">
        <v>426</v>
      </c>
      <c r="C190" s="4">
        <v>46387</v>
      </c>
    </row>
    <row r="191" spans="1:3" s="1" customFormat="1" ht="18.75" customHeight="1" x14ac:dyDescent="0.4">
      <c r="A191" s="3" t="s">
        <v>1336</v>
      </c>
      <c r="B191" s="3" t="s">
        <v>426</v>
      </c>
      <c r="C191" s="4">
        <v>46752</v>
      </c>
    </row>
    <row r="192" spans="1:3" s="1" customFormat="1" ht="18.75" customHeight="1" x14ac:dyDescent="0.4">
      <c r="A192" s="3" t="s">
        <v>59</v>
      </c>
      <c r="B192" s="3" t="str">
        <f>"竹原市下野町小井手3270-1"</f>
        <v>竹原市下野町小井手3270-1</v>
      </c>
      <c r="C192" s="4">
        <v>46387</v>
      </c>
    </row>
    <row r="193" spans="1:3" s="1" customFormat="1" ht="18.75" customHeight="1" x14ac:dyDescent="0.4">
      <c r="A193" s="3" t="s">
        <v>421</v>
      </c>
      <c r="B193" s="3" t="s">
        <v>352</v>
      </c>
      <c r="C193" s="4">
        <v>46387</v>
      </c>
    </row>
    <row r="194" spans="1:3" s="1" customFormat="1" ht="18.75" customHeight="1" x14ac:dyDescent="0.4">
      <c r="A194" s="3" t="s">
        <v>396</v>
      </c>
      <c r="B194" s="3" t="s">
        <v>432</v>
      </c>
      <c r="C194" s="4">
        <v>46387</v>
      </c>
    </row>
    <row r="195" spans="1:3" s="1" customFormat="1" ht="18.75" customHeight="1" x14ac:dyDescent="0.4">
      <c r="A195" s="3" t="s">
        <v>63</v>
      </c>
      <c r="B195" s="3" t="str">
        <f>"竹原市中央2-14-15"</f>
        <v>竹原市中央2-14-15</v>
      </c>
      <c r="C195" s="4">
        <v>47118</v>
      </c>
    </row>
    <row r="196" spans="1:3" s="1" customFormat="1" ht="18.75" customHeight="1" x14ac:dyDescent="0.4">
      <c r="A196" s="3" t="s">
        <v>422</v>
      </c>
      <c r="B196" s="3" t="str">
        <f>"竹原市中央2-20-25"</f>
        <v>竹原市中央2-20-25</v>
      </c>
      <c r="C196" s="4">
        <v>47483</v>
      </c>
    </row>
    <row r="197" spans="1:3" s="1" customFormat="1" ht="18.75" customHeight="1" x14ac:dyDescent="0.4">
      <c r="A197" s="3" t="s">
        <v>274</v>
      </c>
      <c r="B197" s="3" t="str">
        <f>"竹原市中央2-7-7"</f>
        <v>竹原市中央2-7-7</v>
      </c>
      <c r="C197" s="4">
        <v>46387</v>
      </c>
    </row>
    <row r="198" spans="1:3" s="1" customFormat="1" ht="18.75" customHeight="1" x14ac:dyDescent="0.4">
      <c r="A198" s="3" t="s">
        <v>78</v>
      </c>
      <c r="B198" s="3" t="str">
        <f>"竹原市中央3-15-1"</f>
        <v>竹原市中央3-15-1</v>
      </c>
      <c r="C198" s="4">
        <v>46387</v>
      </c>
    </row>
    <row r="199" spans="1:3" s="1" customFormat="1" ht="18.75" customHeight="1" x14ac:dyDescent="0.4">
      <c r="A199" s="3" t="s">
        <v>257</v>
      </c>
      <c r="B199" s="3" t="str">
        <f>"竹原市中央3-17-12"</f>
        <v>竹原市中央3-17-12</v>
      </c>
      <c r="C199" s="4">
        <v>46387</v>
      </c>
    </row>
    <row r="200" spans="1:3" s="1" customFormat="1" ht="18.75" customHeight="1" x14ac:dyDescent="0.4">
      <c r="A200" s="3" t="s">
        <v>366</v>
      </c>
      <c r="B200" s="3" t="str">
        <f>"竹原市中央3-4-1"</f>
        <v>竹原市中央3-4-1</v>
      </c>
      <c r="C200" s="4">
        <v>46387</v>
      </c>
    </row>
    <row r="201" spans="1:3" s="1" customFormat="1" ht="18.75" customHeight="1" x14ac:dyDescent="0.4">
      <c r="A201" s="3" t="s">
        <v>255</v>
      </c>
      <c r="B201" s="3" t="str">
        <f>"竹原市中央4-4-25"</f>
        <v>竹原市中央4-4-25</v>
      </c>
      <c r="C201" s="4">
        <v>46387</v>
      </c>
    </row>
    <row r="202" spans="1:3" s="1" customFormat="1" ht="18.75" customHeight="1" x14ac:dyDescent="0.4">
      <c r="A202" s="3" t="s">
        <v>367</v>
      </c>
      <c r="B202" s="3" t="str">
        <f>"竹原市忠海中町2-10-10"</f>
        <v>竹原市忠海中町2-10-10</v>
      </c>
      <c r="C202" s="4">
        <v>46752</v>
      </c>
    </row>
    <row r="203" spans="1:3" s="1" customFormat="1" ht="18.75" customHeight="1" x14ac:dyDescent="0.4">
      <c r="A203" s="3" t="s">
        <v>154</v>
      </c>
      <c r="B203" s="3" t="str">
        <f>"竹原市忠海中町2-1-40"</f>
        <v>竹原市忠海中町2-1-40</v>
      </c>
      <c r="C203" s="4">
        <v>47118</v>
      </c>
    </row>
    <row r="204" spans="1:3" s="1" customFormat="1" ht="18.75" customHeight="1" x14ac:dyDescent="0.4">
      <c r="A204" s="3" t="s">
        <v>298</v>
      </c>
      <c r="B204" s="3" t="str">
        <f>"竹原市忠海中町2-2-45"</f>
        <v>竹原市忠海中町2-2-45</v>
      </c>
      <c r="C204" s="4">
        <v>46387</v>
      </c>
    </row>
    <row r="205" spans="1:3" s="1" customFormat="1" ht="18.75" customHeight="1" x14ac:dyDescent="0.4">
      <c r="A205" s="3" t="s">
        <v>1197</v>
      </c>
      <c r="B205" s="3" t="str">
        <f>"三原市皆実2-2-4"</f>
        <v>三原市皆実2-2-4</v>
      </c>
      <c r="C205" s="4">
        <v>46387</v>
      </c>
    </row>
    <row r="206" spans="1:3" s="1" customFormat="1" ht="18.75" customHeight="1" x14ac:dyDescent="0.4">
      <c r="A206" s="3" t="s">
        <v>1194</v>
      </c>
      <c r="B206" s="3" t="str">
        <f>"三原市宮浦3-30-30"</f>
        <v>三原市宮浦3-30-30</v>
      </c>
      <c r="C206" s="4">
        <v>46387</v>
      </c>
    </row>
    <row r="207" spans="1:3" s="1" customFormat="1" ht="18.75" customHeight="1" x14ac:dyDescent="0.4">
      <c r="A207" s="3" t="s">
        <v>374</v>
      </c>
      <c r="B207" s="3" t="str">
        <f>"三原市宮浦4-11-23"</f>
        <v>三原市宮浦4-11-23</v>
      </c>
      <c r="C207" s="4">
        <v>47483</v>
      </c>
    </row>
    <row r="208" spans="1:3" s="1" customFormat="1" ht="18.75" customHeight="1" x14ac:dyDescent="0.4">
      <c r="A208" s="3" t="s">
        <v>1044</v>
      </c>
      <c r="B208" s="3" t="str">
        <f>"三原市宮浦5-6-19"</f>
        <v>三原市宮浦5-6-19</v>
      </c>
      <c r="C208" s="4">
        <v>46387</v>
      </c>
    </row>
    <row r="209" spans="1:3" s="1" customFormat="1" ht="18.75" customHeight="1" x14ac:dyDescent="0.4">
      <c r="A209" s="3" t="s">
        <v>758</v>
      </c>
      <c r="B209" s="3" t="str">
        <f>"三原市宮浦6-7-27"</f>
        <v>三原市宮浦6-7-27</v>
      </c>
      <c r="C209" s="4">
        <v>46387</v>
      </c>
    </row>
    <row r="210" spans="1:3" s="1" customFormat="1" ht="18.75" customHeight="1" x14ac:dyDescent="0.4">
      <c r="A210" s="3" t="s">
        <v>1199</v>
      </c>
      <c r="B210" s="3" t="str">
        <f>"三原市幸崎能地4-21-7"</f>
        <v>三原市幸崎能地4-21-7</v>
      </c>
      <c r="C210" s="4">
        <v>47118</v>
      </c>
    </row>
    <row r="211" spans="1:3" s="1" customFormat="1" ht="18.75" customHeight="1" x14ac:dyDescent="0.4">
      <c r="A211" s="3" t="s">
        <v>1195</v>
      </c>
      <c r="B211" s="3" t="str">
        <f>"三原市港町1-2-3"</f>
        <v>三原市港町1-2-3</v>
      </c>
      <c r="C211" s="4">
        <v>46387</v>
      </c>
    </row>
    <row r="212" spans="1:3" s="1" customFormat="1" ht="18.75" customHeight="1" x14ac:dyDescent="0.4">
      <c r="A212" s="3" t="s">
        <v>1192</v>
      </c>
      <c r="B212" s="3" t="str">
        <f>"三原市城町2-2-17"</f>
        <v>三原市城町2-2-17</v>
      </c>
      <c r="C212" s="4">
        <v>46387</v>
      </c>
    </row>
    <row r="213" spans="1:3" s="1" customFormat="1" ht="18.75" customHeight="1" x14ac:dyDescent="0.4">
      <c r="A213" s="3" t="s">
        <v>1198</v>
      </c>
      <c r="B213" s="3" t="str">
        <f>"三原市城町3-8-22"</f>
        <v>三原市城町3-8-22</v>
      </c>
      <c r="C213" s="4">
        <v>46387</v>
      </c>
    </row>
    <row r="214" spans="1:3" s="1" customFormat="1" ht="18.75" customHeight="1" x14ac:dyDescent="0.4">
      <c r="A214" s="3" t="s">
        <v>1121</v>
      </c>
      <c r="B214" s="3" t="str">
        <f>"三原市大和町下徳良1782-10"</f>
        <v>三原市大和町下徳良1782-10</v>
      </c>
      <c r="C214" s="4">
        <v>46387</v>
      </c>
    </row>
    <row r="215" spans="1:3" s="1" customFormat="1" ht="18.75" customHeight="1" x14ac:dyDescent="0.4">
      <c r="A215" s="3" t="s">
        <v>85</v>
      </c>
      <c r="B215" s="3" t="str">
        <f>"三原市中之町1-23-20"</f>
        <v>三原市中之町1-23-20</v>
      </c>
      <c r="C215" s="4">
        <v>46387</v>
      </c>
    </row>
    <row r="216" spans="1:3" s="1" customFormat="1" ht="18.75" customHeight="1" x14ac:dyDescent="0.4">
      <c r="A216" s="3" t="s">
        <v>1200</v>
      </c>
      <c r="B216" s="3" t="str">
        <f>"三原市中之町6-20-8"</f>
        <v>三原市中之町6-20-8</v>
      </c>
      <c r="C216" s="4">
        <v>46387</v>
      </c>
    </row>
    <row r="217" spans="1:3" s="1" customFormat="1" ht="18.75" customHeight="1" x14ac:dyDescent="0.4">
      <c r="A217" s="3" t="s">
        <v>1196</v>
      </c>
      <c r="B217" s="3" t="str">
        <f>"三原市頼兼1-2-12"</f>
        <v>三原市頼兼1-2-12</v>
      </c>
      <c r="C217" s="4">
        <v>46387</v>
      </c>
    </row>
    <row r="218" spans="1:3" s="1" customFormat="1" ht="18.75" customHeight="1" x14ac:dyDescent="0.4">
      <c r="A218" s="3" t="s">
        <v>498</v>
      </c>
      <c r="B218" s="3" t="str">
        <f>"三原市円一町1-1-2-2"</f>
        <v>三原市円一町1-1-2-2</v>
      </c>
      <c r="C218" s="4">
        <v>46752</v>
      </c>
    </row>
    <row r="219" spans="1:3" s="1" customFormat="1" ht="18.75" customHeight="1" x14ac:dyDescent="0.4">
      <c r="A219" s="3" t="s">
        <v>480</v>
      </c>
      <c r="B219" s="3" t="str">
        <f>"三原市円一町1-1-2-2"</f>
        <v>三原市円一町1-1-2-2</v>
      </c>
      <c r="C219" s="4">
        <v>47483</v>
      </c>
    </row>
    <row r="220" spans="1:3" s="1" customFormat="1" ht="18.75" customHeight="1" x14ac:dyDescent="0.4">
      <c r="A220" s="3" t="s">
        <v>489</v>
      </c>
      <c r="B220" s="3" t="str">
        <f>"三原市円一町1-1-7"</f>
        <v>三原市円一町1-1-7</v>
      </c>
      <c r="C220" s="4">
        <v>46387</v>
      </c>
    </row>
    <row r="221" spans="1:3" s="1" customFormat="1" ht="18.75" customHeight="1" x14ac:dyDescent="0.4">
      <c r="A221" s="3" t="s">
        <v>475</v>
      </c>
      <c r="B221" s="3" t="str">
        <f>"三原市円一町2-5-1"</f>
        <v>三原市円一町2-5-1</v>
      </c>
      <c r="C221" s="4">
        <v>46387</v>
      </c>
    </row>
    <row r="222" spans="1:3" s="1" customFormat="1" ht="18.75" customHeight="1" x14ac:dyDescent="0.4">
      <c r="A222" s="3" t="s">
        <v>203</v>
      </c>
      <c r="B222" s="3" t="str">
        <f>"三原市下北方1-7-30"</f>
        <v>三原市下北方1-7-30</v>
      </c>
      <c r="C222" s="4">
        <v>46387</v>
      </c>
    </row>
    <row r="223" spans="1:3" s="1" customFormat="1" ht="18.75" customHeight="1" x14ac:dyDescent="0.4">
      <c r="A223" s="3" t="s">
        <v>1120</v>
      </c>
      <c r="B223" s="3" t="str">
        <f>"三原市下北方2-29-15"</f>
        <v>三原市下北方2-29-15</v>
      </c>
      <c r="C223" s="4">
        <v>46387</v>
      </c>
    </row>
    <row r="224" spans="1:3" s="1" customFormat="1" ht="18.75" customHeight="1" x14ac:dyDescent="0.4">
      <c r="A224" s="3" t="s">
        <v>91</v>
      </c>
      <c r="B224" s="3" t="str">
        <f>"三原市皆実3-3-28"</f>
        <v>三原市皆実3-3-28</v>
      </c>
      <c r="C224" s="4">
        <v>47848</v>
      </c>
    </row>
    <row r="225" spans="1:3" s="1" customFormat="1" ht="18.75" customHeight="1" x14ac:dyDescent="0.4">
      <c r="A225" s="3" t="s">
        <v>1337</v>
      </c>
      <c r="B225" s="3" t="str">
        <f>"三原市皆実3-3-28"</f>
        <v>三原市皆実3-3-28</v>
      </c>
      <c r="C225" s="4">
        <v>47848</v>
      </c>
    </row>
    <row r="226" spans="1:3" s="1" customFormat="1" ht="18.75" customHeight="1" x14ac:dyDescent="0.4">
      <c r="A226" s="3" t="s">
        <v>453</v>
      </c>
      <c r="B226" s="3" t="str">
        <f>"三原市学園町1-1"</f>
        <v>三原市学園町1-1</v>
      </c>
      <c r="C226" s="4">
        <v>46387</v>
      </c>
    </row>
    <row r="227" spans="1:3" s="1" customFormat="1" ht="18.75" customHeight="1" x14ac:dyDescent="0.4">
      <c r="A227" s="3" t="s">
        <v>72</v>
      </c>
      <c r="B227" s="3" t="str">
        <f>"三原市久井町江木50-1"</f>
        <v>三原市久井町江木50-1</v>
      </c>
      <c r="C227" s="4">
        <v>46387</v>
      </c>
    </row>
    <row r="228" spans="1:3" s="1" customFormat="1" ht="18.75" customHeight="1" x14ac:dyDescent="0.4">
      <c r="A228" s="3" t="s">
        <v>450</v>
      </c>
      <c r="B228" s="3" t="str">
        <f>"三原市宮浦1-15-1"</f>
        <v>三原市宮浦1-15-1</v>
      </c>
      <c r="C228" s="4">
        <v>46387</v>
      </c>
    </row>
    <row r="229" spans="1:3" s="1" customFormat="1" ht="18.75" customHeight="1" x14ac:dyDescent="0.4">
      <c r="A229" s="3" t="s">
        <v>389</v>
      </c>
      <c r="B229" s="3" t="str">
        <f>"三原市宮浦1-15-1"</f>
        <v>三原市宮浦1-15-1</v>
      </c>
      <c r="C229" s="4">
        <v>46387</v>
      </c>
    </row>
    <row r="230" spans="1:3" s="1" customFormat="1" ht="18.75" customHeight="1" x14ac:dyDescent="0.4">
      <c r="A230" s="3" t="s">
        <v>456</v>
      </c>
      <c r="B230" s="3" t="str">
        <f>"三原市宮浦3-28-18"</f>
        <v>三原市宮浦3-28-18</v>
      </c>
      <c r="C230" s="4">
        <v>47118</v>
      </c>
    </row>
    <row r="231" spans="1:3" s="1" customFormat="1" ht="18.75" customHeight="1" x14ac:dyDescent="0.4">
      <c r="A231" s="3" t="s">
        <v>464</v>
      </c>
      <c r="B231" s="3" t="str">
        <f>"三原市宮浦5-16-23"</f>
        <v>三原市宮浦5-16-23</v>
      </c>
      <c r="C231" s="4">
        <v>46387</v>
      </c>
    </row>
    <row r="232" spans="1:3" s="1" customFormat="1" ht="18.75" customHeight="1" x14ac:dyDescent="0.4">
      <c r="A232" s="3" t="s">
        <v>86</v>
      </c>
      <c r="B232" s="3" t="str">
        <f>"三原市宮浦6-3-28"</f>
        <v>三原市宮浦6-3-28</v>
      </c>
      <c r="C232" s="4">
        <v>46387</v>
      </c>
    </row>
    <row r="233" spans="1:3" s="1" customFormat="1" ht="18.75" customHeight="1" x14ac:dyDescent="0.4">
      <c r="A233" s="3" t="s">
        <v>452</v>
      </c>
      <c r="B233" s="3" t="str">
        <f>"三原市宮浦6-7-39"</f>
        <v>三原市宮浦6-7-39</v>
      </c>
      <c r="C233" s="4">
        <v>46387</v>
      </c>
    </row>
    <row r="234" spans="1:3" s="1" customFormat="1" ht="18.75" customHeight="1" x14ac:dyDescent="0.4">
      <c r="A234" s="3" t="s">
        <v>494</v>
      </c>
      <c r="B234" s="3" t="str">
        <f>"三原市宮沖2-4-5"</f>
        <v>三原市宮沖2-4-5</v>
      </c>
      <c r="C234" s="4">
        <v>47848</v>
      </c>
    </row>
    <row r="235" spans="1:3" s="1" customFormat="1" ht="18.75" customHeight="1" x14ac:dyDescent="0.4">
      <c r="A235" s="3" t="s">
        <v>467</v>
      </c>
      <c r="B235" s="3" t="str">
        <f>"三原市宮沖2-6-18"</f>
        <v>三原市宮沖2-6-18</v>
      </c>
      <c r="C235" s="4">
        <v>46387</v>
      </c>
    </row>
    <row r="236" spans="1:3" s="1" customFormat="1" ht="18.75" customHeight="1" x14ac:dyDescent="0.4">
      <c r="A236" s="3" t="s">
        <v>144</v>
      </c>
      <c r="B236" s="3" t="str">
        <f>"三原市宮冲5-8-20"</f>
        <v>三原市宮冲5-8-20</v>
      </c>
      <c r="C236" s="4">
        <v>46387</v>
      </c>
    </row>
    <row r="237" spans="1:3" s="1" customFormat="1" ht="18.75" customHeight="1" x14ac:dyDescent="0.4">
      <c r="A237" s="3" t="s">
        <v>360</v>
      </c>
      <c r="B237" s="3" t="str">
        <f>"三原市港町1-3-1"</f>
        <v>三原市港町1-3-1</v>
      </c>
      <c r="C237" s="4">
        <v>47118</v>
      </c>
    </row>
    <row r="238" spans="1:3" s="1" customFormat="1" ht="18.75" customHeight="1" x14ac:dyDescent="0.4">
      <c r="A238" s="3" t="s">
        <v>244</v>
      </c>
      <c r="B238" s="3" t="str">
        <f>"三原市港町1-3-15"</f>
        <v>三原市港町1-3-15</v>
      </c>
      <c r="C238" s="4">
        <v>46387</v>
      </c>
    </row>
    <row r="239" spans="1:3" s="1" customFormat="1" ht="18.75" customHeight="1" x14ac:dyDescent="0.4">
      <c r="A239" s="3" t="s">
        <v>473</v>
      </c>
      <c r="B239" s="3" t="str">
        <f>"三原市港町1-6-6"</f>
        <v>三原市港町1-6-6</v>
      </c>
      <c r="C239" s="4">
        <v>47118</v>
      </c>
    </row>
    <row r="240" spans="1:3" s="1" customFormat="1" ht="18.75" customHeight="1" x14ac:dyDescent="0.4">
      <c r="A240" s="3" t="s">
        <v>463</v>
      </c>
      <c r="B240" s="3" t="str">
        <f>"三原市港町3-7-12"</f>
        <v>三原市港町3-7-12</v>
      </c>
      <c r="C240" s="4">
        <v>46022</v>
      </c>
    </row>
    <row r="241" spans="1:3" s="1" customFormat="1" ht="18.75" customHeight="1" x14ac:dyDescent="0.4">
      <c r="A241" s="3" t="s">
        <v>490</v>
      </c>
      <c r="B241" s="3" t="s">
        <v>98</v>
      </c>
      <c r="C241" s="4">
        <v>47483</v>
      </c>
    </row>
    <row r="242" spans="1:3" s="1" customFormat="1" ht="18.75" customHeight="1" x14ac:dyDescent="0.4">
      <c r="A242" s="3" t="s">
        <v>447</v>
      </c>
      <c r="B242" s="3" t="str">
        <f>"三原市糸崎4-9-24"</f>
        <v>三原市糸崎4-9-24</v>
      </c>
      <c r="C242" s="4">
        <v>46387</v>
      </c>
    </row>
    <row r="243" spans="1:3" s="1" customFormat="1" ht="18.75" customHeight="1" x14ac:dyDescent="0.4">
      <c r="A243" s="3" t="s">
        <v>462</v>
      </c>
      <c r="B243" s="3" t="str">
        <f>"三原市宗郷1-3-12"</f>
        <v>三原市宗郷1-3-12</v>
      </c>
      <c r="C243" s="4">
        <v>46387</v>
      </c>
    </row>
    <row r="244" spans="1:3" s="1" customFormat="1" ht="18.75" customHeight="1" x14ac:dyDescent="0.4">
      <c r="A244" s="3" t="s">
        <v>316</v>
      </c>
      <c r="B244" s="3" t="str">
        <f>"三原市宗郷3-3-3"</f>
        <v>三原市宗郷3-3-3</v>
      </c>
      <c r="C244" s="4">
        <v>46387</v>
      </c>
    </row>
    <row r="245" spans="1:3" s="1" customFormat="1" ht="18.75" customHeight="1" x14ac:dyDescent="0.4">
      <c r="A245" s="3" t="s">
        <v>435</v>
      </c>
      <c r="B245" s="3" t="s">
        <v>391</v>
      </c>
      <c r="C245" s="4">
        <v>46387</v>
      </c>
    </row>
    <row r="246" spans="1:3" s="1" customFormat="1" ht="18.75" customHeight="1" x14ac:dyDescent="0.4">
      <c r="A246" s="3" t="s">
        <v>67</v>
      </c>
      <c r="B246" s="3" t="str">
        <f>"三原市沼田東町片島224-5"</f>
        <v>三原市沼田東町片島224-5</v>
      </c>
      <c r="C246" s="4">
        <v>47118</v>
      </c>
    </row>
    <row r="247" spans="1:3" s="1" customFormat="1" ht="18.75" customHeight="1" x14ac:dyDescent="0.4">
      <c r="A247" s="3" t="s">
        <v>437</v>
      </c>
      <c r="B247" s="3" t="str">
        <f>"三原市城町1-14-14"</f>
        <v>三原市城町1-14-14</v>
      </c>
      <c r="C247" s="4">
        <v>46387</v>
      </c>
    </row>
    <row r="248" spans="1:3" s="1" customFormat="1" ht="18.75" customHeight="1" x14ac:dyDescent="0.4">
      <c r="A248" s="3" t="s">
        <v>373</v>
      </c>
      <c r="B248" s="3" t="str">
        <f>"三原市城町1-20-25"</f>
        <v>三原市城町1-20-25</v>
      </c>
      <c r="C248" s="4">
        <v>46387</v>
      </c>
    </row>
    <row r="249" spans="1:3" s="1" customFormat="1" ht="18.75" customHeight="1" x14ac:dyDescent="0.4">
      <c r="A249" s="3" t="s">
        <v>28</v>
      </c>
      <c r="B249" s="3" t="str">
        <f>"三原市城町1-8-7"</f>
        <v>三原市城町1-8-7</v>
      </c>
      <c r="C249" s="4">
        <v>46022</v>
      </c>
    </row>
    <row r="250" spans="1:3" s="1" customFormat="1" ht="18.75" customHeight="1" x14ac:dyDescent="0.4">
      <c r="A250" s="3" t="s">
        <v>486</v>
      </c>
      <c r="B250" s="3" t="str">
        <f>"三原市城町2-2-1-2F"</f>
        <v>三原市城町2-2-1-2F</v>
      </c>
      <c r="C250" s="4">
        <v>46387</v>
      </c>
    </row>
    <row r="251" spans="1:3" s="1" customFormat="1" ht="18.75" customHeight="1" x14ac:dyDescent="0.4">
      <c r="A251" s="3" t="s">
        <v>449</v>
      </c>
      <c r="B251" s="3" t="str">
        <f>"三原市城町3-7-1"</f>
        <v>三原市城町3-7-1</v>
      </c>
      <c r="C251" s="4">
        <v>46387</v>
      </c>
    </row>
    <row r="252" spans="1:3" s="1" customFormat="1" ht="18.75" customHeight="1" x14ac:dyDescent="0.4">
      <c r="A252" s="3" t="s">
        <v>88</v>
      </c>
      <c r="B252" s="3" t="str">
        <f>"三原市須波ハイツ2-3-10"</f>
        <v>三原市須波ハイツ2-3-10</v>
      </c>
      <c r="C252" s="4">
        <v>46387</v>
      </c>
    </row>
    <row r="253" spans="1:3" s="1" customFormat="1" ht="18.75" customHeight="1" x14ac:dyDescent="0.4">
      <c r="A253" s="3" t="s">
        <v>441</v>
      </c>
      <c r="B253" s="3" t="str">
        <f>"三原市西町1-2-63"</f>
        <v>三原市西町1-2-63</v>
      </c>
      <c r="C253" s="4">
        <v>46387</v>
      </c>
    </row>
    <row r="254" spans="1:3" s="1" customFormat="1" ht="18.75" customHeight="1" x14ac:dyDescent="0.4">
      <c r="A254" s="3" t="s">
        <v>1063</v>
      </c>
      <c r="B254" s="3" t="str">
        <f>"三原市大和町下徳良1901-8"</f>
        <v>三原市大和町下徳良1901-8</v>
      </c>
      <c r="C254" s="4">
        <v>46387</v>
      </c>
    </row>
    <row r="255" spans="1:3" s="1" customFormat="1" ht="18.75" customHeight="1" x14ac:dyDescent="0.4">
      <c r="A255" s="3" t="s">
        <v>495</v>
      </c>
      <c r="B255" s="3" t="str">
        <f>"三原市大和町和木1504-1"</f>
        <v>三原市大和町和木1504-1</v>
      </c>
      <c r="C255" s="4">
        <v>47848</v>
      </c>
    </row>
    <row r="256" spans="1:3" s="1" customFormat="1" ht="18.75" customHeight="1" x14ac:dyDescent="0.4">
      <c r="A256" s="3" t="s">
        <v>7</v>
      </c>
      <c r="B256" s="3" t="str">
        <f>"三原市大和町和木1504-1"</f>
        <v>三原市大和町和木1504-1</v>
      </c>
      <c r="C256" s="4">
        <v>47848</v>
      </c>
    </row>
    <row r="257" spans="1:3" s="1" customFormat="1" ht="18.75" customHeight="1" x14ac:dyDescent="0.4">
      <c r="A257" s="3" t="s">
        <v>397</v>
      </c>
      <c r="B257" s="3" t="str">
        <f>"三原市大和町和木1538-1"</f>
        <v>三原市大和町和木1538-1</v>
      </c>
      <c r="C257" s="4">
        <v>46387</v>
      </c>
    </row>
    <row r="258" spans="1:3" s="1" customFormat="1" ht="18.75" customHeight="1" x14ac:dyDescent="0.4">
      <c r="A258" s="3" t="s">
        <v>89</v>
      </c>
      <c r="B258" s="3" t="str">
        <f>"三原市中之町1-21-10"</f>
        <v>三原市中之町1-21-10</v>
      </c>
      <c r="C258" s="4">
        <v>46387</v>
      </c>
    </row>
    <row r="259" spans="1:3" s="1" customFormat="1" ht="18.75" customHeight="1" x14ac:dyDescent="0.4">
      <c r="A259" s="3" t="s">
        <v>457</v>
      </c>
      <c r="B259" s="3" t="str">
        <f>"三原市中之町3-3-11"</f>
        <v>三原市中之町3-3-11</v>
      </c>
      <c r="C259" s="4">
        <v>46387</v>
      </c>
    </row>
    <row r="260" spans="1:3" s="1" customFormat="1" ht="18.75" customHeight="1" x14ac:dyDescent="0.4">
      <c r="A260" s="3" t="s">
        <v>442</v>
      </c>
      <c r="B260" s="3" t="str">
        <f>"三原市中之町6-31-1"</f>
        <v>三原市中之町6-31-1</v>
      </c>
      <c r="C260" s="4">
        <v>46387</v>
      </c>
    </row>
    <row r="261" spans="1:3" s="1" customFormat="1" ht="18.75" customHeight="1" x14ac:dyDescent="0.4">
      <c r="A261" s="3" t="s">
        <v>209</v>
      </c>
      <c r="B261" s="3" t="str">
        <f>"三原市東町2-7-1"</f>
        <v>三原市東町2-7-1</v>
      </c>
      <c r="C261" s="4">
        <v>46387</v>
      </c>
    </row>
    <row r="262" spans="1:3" s="1" customFormat="1" ht="18.75" customHeight="1" x14ac:dyDescent="0.4">
      <c r="A262" s="3" t="s">
        <v>483</v>
      </c>
      <c r="B262" s="3" t="str">
        <f>"三原市本郷南5-19-15"</f>
        <v>三原市本郷南5-19-15</v>
      </c>
      <c r="C262" s="4">
        <v>46387</v>
      </c>
    </row>
    <row r="263" spans="1:3" s="1" customFormat="1" ht="18.75" customHeight="1" x14ac:dyDescent="0.4">
      <c r="A263" s="3" t="s">
        <v>281</v>
      </c>
      <c r="B263" s="3" t="str">
        <f>"三原市本郷南6-21-3"</f>
        <v>三原市本郷南6-21-3</v>
      </c>
      <c r="C263" s="4">
        <v>46387</v>
      </c>
    </row>
    <row r="264" spans="1:3" s="1" customFormat="1" ht="18.75" customHeight="1" x14ac:dyDescent="0.4">
      <c r="A264" s="3" t="s">
        <v>1118</v>
      </c>
      <c r="B264" s="3" t="str">
        <f>"三原市本郷南7-15-13"</f>
        <v>三原市本郷南7-15-13</v>
      </c>
      <c r="C264" s="4">
        <v>46387</v>
      </c>
    </row>
    <row r="265" spans="1:3" s="1" customFormat="1" ht="18.75" customHeight="1" x14ac:dyDescent="0.4">
      <c r="A265" s="3" t="s">
        <v>66</v>
      </c>
      <c r="B265" s="3" t="str">
        <f>"三原市本町1-9-12"</f>
        <v>三原市本町1-9-12</v>
      </c>
      <c r="C265" s="4">
        <v>46387</v>
      </c>
    </row>
    <row r="266" spans="1:3" s="1" customFormat="1" ht="18.75" customHeight="1" x14ac:dyDescent="0.4">
      <c r="A266" s="3" t="s">
        <v>207</v>
      </c>
      <c r="B266" s="3" t="str">
        <f>"三原市明神2-11-7"</f>
        <v>三原市明神2-11-7</v>
      </c>
      <c r="C266" s="4">
        <v>46387</v>
      </c>
    </row>
    <row r="267" spans="1:3" s="1" customFormat="1" ht="18.75" customHeight="1" x14ac:dyDescent="0.4">
      <c r="A267" s="3" t="s">
        <v>278</v>
      </c>
      <c r="B267" s="3" t="str">
        <f>"三原市頼兼1-1-6"</f>
        <v>三原市頼兼1-1-6</v>
      </c>
      <c r="C267" s="4">
        <v>46387</v>
      </c>
    </row>
    <row r="268" spans="1:3" s="1" customFormat="1" ht="18.75" customHeight="1" x14ac:dyDescent="0.4">
      <c r="A268" s="3" t="s">
        <v>572</v>
      </c>
      <c r="B268" s="3" t="str">
        <f>"尾道市因島田熊町1105-3"</f>
        <v>尾道市因島田熊町1105-3</v>
      </c>
      <c r="C268" s="4">
        <v>46387</v>
      </c>
    </row>
    <row r="269" spans="1:3" s="1" customFormat="1" ht="18.75" customHeight="1" x14ac:dyDescent="0.4">
      <c r="A269" s="3" t="s">
        <v>1207</v>
      </c>
      <c r="B269" s="3" t="str">
        <f>"尾道市因島田熊町2517-1"</f>
        <v>尾道市因島田熊町2517-1</v>
      </c>
      <c r="C269" s="4">
        <v>46387</v>
      </c>
    </row>
    <row r="270" spans="1:3" s="1" customFormat="1" ht="18.75" customHeight="1" x14ac:dyDescent="0.4">
      <c r="A270" s="3" t="s">
        <v>985</v>
      </c>
      <c r="B270" s="3" t="str">
        <f>"尾道市因島土生町1902-2"</f>
        <v>尾道市因島土生町1902-2</v>
      </c>
      <c r="C270" s="4">
        <v>46387</v>
      </c>
    </row>
    <row r="271" spans="1:3" s="1" customFormat="1" ht="18.75" customHeight="1" x14ac:dyDescent="0.4">
      <c r="A271" s="3" t="s">
        <v>1211</v>
      </c>
      <c r="B271" s="3" t="s">
        <v>600</v>
      </c>
      <c r="C271" s="4">
        <v>46387</v>
      </c>
    </row>
    <row r="272" spans="1:3" s="1" customFormat="1" ht="18.75" customHeight="1" x14ac:dyDescent="0.4">
      <c r="A272" s="3" t="s">
        <v>10</v>
      </c>
      <c r="B272" s="3" t="str">
        <f>"尾道市浦崎町2062-1"</f>
        <v>尾道市浦崎町2062-1</v>
      </c>
      <c r="C272" s="4">
        <v>46387</v>
      </c>
    </row>
    <row r="273" spans="1:3" s="1" customFormat="1" ht="18.75" customHeight="1" x14ac:dyDescent="0.4">
      <c r="A273" s="3" t="s">
        <v>572</v>
      </c>
      <c r="B273" s="3" t="str">
        <f>"尾道市沖側町3-8"</f>
        <v>尾道市沖側町3-8</v>
      </c>
      <c r="C273" s="4">
        <v>46387</v>
      </c>
    </row>
    <row r="274" spans="1:3" s="1" customFormat="1" ht="18.75" customHeight="1" x14ac:dyDescent="0.4">
      <c r="A274" s="3" t="s">
        <v>1205</v>
      </c>
      <c r="B274" s="3" t="str">
        <f>"尾道市久保1-8-23"</f>
        <v>尾道市久保1-8-23</v>
      </c>
      <c r="C274" s="4">
        <v>46387</v>
      </c>
    </row>
    <row r="275" spans="1:3" s="1" customFormat="1" ht="18.75" customHeight="1" x14ac:dyDescent="0.4">
      <c r="A275" s="3" t="s">
        <v>651</v>
      </c>
      <c r="B275" s="3" t="s">
        <v>168</v>
      </c>
      <c r="C275" s="4">
        <v>46387</v>
      </c>
    </row>
    <row r="276" spans="1:3" s="1" customFormat="1" ht="18.75" customHeight="1" x14ac:dyDescent="0.4">
      <c r="A276" s="3" t="s">
        <v>1321</v>
      </c>
      <c r="B276" s="3" t="str">
        <f>"尾道市御調町大田78-1"</f>
        <v>尾道市御調町大田78-1</v>
      </c>
      <c r="C276" s="4">
        <v>46387</v>
      </c>
    </row>
    <row r="277" spans="1:3" s="1" customFormat="1" ht="18.75" customHeight="1" x14ac:dyDescent="0.4">
      <c r="A277" s="3" t="s">
        <v>485</v>
      </c>
      <c r="B277" s="3" t="str">
        <f>"尾道市向島町576-13"</f>
        <v>尾道市向島町576-13</v>
      </c>
      <c r="C277" s="4">
        <v>47483</v>
      </c>
    </row>
    <row r="278" spans="1:3" s="1" customFormat="1" ht="18.75" customHeight="1" x14ac:dyDescent="0.4">
      <c r="A278" s="3" t="s">
        <v>1206</v>
      </c>
      <c r="B278" s="3" t="str">
        <f>"尾道市向東町8861-1"</f>
        <v>尾道市向東町8861-1</v>
      </c>
      <c r="C278" s="4">
        <v>46387</v>
      </c>
    </row>
    <row r="279" spans="1:3" s="1" customFormat="1" ht="18.75" customHeight="1" x14ac:dyDescent="0.4">
      <c r="A279" s="3" t="s">
        <v>1210</v>
      </c>
      <c r="B279" s="3" t="str">
        <f>"尾道市高須町3700-3"</f>
        <v>尾道市高須町3700-3</v>
      </c>
      <c r="C279" s="4">
        <v>47483</v>
      </c>
    </row>
    <row r="280" spans="1:3" s="1" customFormat="1" ht="18.75" customHeight="1" x14ac:dyDescent="0.4">
      <c r="A280" s="3" t="s">
        <v>1204</v>
      </c>
      <c r="B280" s="3" t="str">
        <f>"尾道市山波町243-19"</f>
        <v>尾道市山波町243-19</v>
      </c>
      <c r="C280" s="4">
        <v>46387</v>
      </c>
    </row>
    <row r="281" spans="1:3" s="1" customFormat="1" ht="18.75" customHeight="1" x14ac:dyDescent="0.4">
      <c r="A281" s="3" t="s">
        <v>1202</v>
      </c>
      <c r="B281" s="3" t="str">
        <f>"尾道市十四日元町6-3"</f>
        <v>尾道市十四日元町6-3</v>
      </c>
      <c r="C281" s="4">
        <v>46387</v>
      </c>
    </row>
    <row r="282" spans="1:3" s="1" customFormat="1" ht="18.75" customHeight="1" x14ac:dyDescent="0.4">
      <c r="A282" s="3" t="s">
        <v>655</v>
      </c>
      <c r="B282" s="3" t="str">
        <f>"尾道市新高山3-1170-177"</f>
        <v>尾道市新高山3-1170-177</v>
      </c>
      <c r="C282" s="4">
        <v>46387</v>
      </c>
    </row>
    <row r="283" spans="1:3" s="1" customFormat="1" ht="18.75" customHeight="1" x14ac:dyDescent="0.4">
      <c r="A283" s="3" t="s">
        <v>1320</v>
      </c>
      <c r="B283" s="3" t="str">
        <f>"尾道市瀬戸田町沢163-16"</f>
        <v>尾道市瀬戸田町沢163-16</v>
      </c>
      <c r="C283" s="4">
        <v>46387</v>
      </c>
    </row>
    <row r="284" spans="1:3" s="1" customFormat="1" ht="18.75" customHeight="1" x14ac:dyDescent="0.4">
      <c r="A284" s="3" t="s">
        <v>1203</v>
      </c>
      <c r="B284" s="3" t="str">
        <f>"尾道市西則末町8-20"</f>
        <v>尾道市西則末町8-20</v>
      </c>
      <c r="C284" s="4">
        <v>46752</v>
      </c>
    </row>
    <row r="285" spans="1:3" s="1" customFormat="1" ht="18.75" customHeight="1" x14ac:dyDescent="0.4">
      <c r="A285" s="3" t="s">
        <v>1208</v>
      </c>
      <c r="B285" s="3" t="str">
        <f>"尾道市天満町17-8"</f>
        <v>尾道市天満町17-8</v>
      </c>
      <c r="C285" s="4">
        <v>46387</v>
      </c>
    </row>
    <row r="286" spans="1:3" s="1" customFormat="1" ht="18.75" customHeight="1" x14ac:dyDescent="0.4">
      <c r="A286" s="3" t="s">
        <v>1209</v>
      </c>
      <c r="B286" s="3" t="str">
        <f>"尾道市美ノ郷町三成1138-1"</f>
        <v>尾道市美ノ郷町三成1138-1</v>
      </c>
      <c r="C286" s="4">
        <v>46387</v>
      </c>
    </row>
    <row r="287" spans="1:3" s="1" customFormat="1" ht="18.75" customHeight="1" x14ac:dyDescent="0.4">
      <c r="A287" s="3" t="s">
        <v>716</v>
      </c>
      <c r="B287" s="3" t="str">
        <f>"尾道市平原1-10-23"</f>
        <v>尾道市平原1-10-23</v>
      </c>
      <c r="C287" s="4">
        <v>46387</v>
      </c>
    </row>
    <row r="288" spans="1:3" s="1" customFormat="1" ht="18.75" customHeight="1" x14ac:dyDescent="0.4">
      <c r="A288" s="3" t="s">
        <v>611</v>
      </c>
      <c r="B288" s="3" t="str">
        <f>"尾道市因島原町668-18"</f>
        <v>尾道市因島原町668-18</v>
      </c>
      <c r="C288" s="4">
        <v>46387</v>
      </c>
    </row>
    <row r="289" spans="1:3" s="1" customFormat="1" ht="18.75" customHeight="1" x14ac:dyDescent="0.4">
      <c r="A289" s="3" t="s">
        <v>506</v>
      </c>
      <c r="B289" s="3" t="s">
        <v>370</v>
      </c>
      <c r="C289" s="4">
        <v>47118</v>
      </c>
    </row>
    <row r="290" spans="1:3" s="1" customFormat="1" ht="18.75" customHeight="1" x14ac:dyDescent="0.4">
      <c r="A290" s="3" t="s">
        <v>71</v>
      </c>
      <c r="B290" s="3" t="s">
        <v>212</v>
      </c>
      <c r="C290" s="4">
        <v>46387</v>
      </c>
    </row>
    <row r="291" spans="1:3" s="1" customFormat="1" ht="18.75" customHeight="1" x14ac:dyDescent="0.4">
      <c r="A291" s="3" t="s">
        <v>27</v>
      </c>
      <c r="B291" s="3" t="s">
        <v>567</v>
      </c>
      <c r="C291" s="4">
        <v>46752</v>
      </c>
    </row>
    <row r="292" spans="1:3" s="1" customFormat="1" ht="18.75" customHeight="1" x14ac:dyDescent="0.4">
      <c r="A292" s="3" t="s">
        <v>210</v>
      </c>
      <c r="B292" s="3" t="str">
        <f>"尾道市因島田熊町1140-1"</f>
        <v>尾道市因島田熊町1140-1</v>
      </c>
      <c r="C292" s="4">
        <v>46387</v>
      </c>
    </row>
    <row r="293" spans="1:3" s="1" customFormat="1" ht="18.75" customHeight="1" x14ac:dyDescent="0.4">
      <c r="A293" s="3" t="s">
        <v>52</v>
      </c>
      <c r="B293" s="3" t="str">
        <f>"尾道市因島土生町1686-1"</f>
        <v>尾道市因島土生町1686-1</v>
      </c>
      <c r="C293" s="4">
        <v>46387</v>
      </c>
    </row>
    <row r="294" spans="1:3" s="1" customFormat="1" ht="18.75" customHeight="1" x14ac:dyDescent="0.4">
      <c r="A294" s="3" t="s">
        <v>106</v>
      </c>
      <c r="B294" s="3" t="str">
        <f>"尾道市因島土生町1809-34"</f>
        <v>尾道市因島土生町1809-34</v>
      </c>
      <c r="C294" s="4">
        <v>46752</v>
      </c>
    </row>
    <row r="295" spans="1:3" s="1" customFormat="1" ht="18.75" customHeight="1" x14ac:dyDescent="0.4">
      <c r="A295" s="3" t="s">
        <v>608</v>
      </c>
      <c r="B295" s="3" t="str">
        <f>"尾道市因島土生町1899-24"</f>
        <v>尾道市因島土生町1899-24</v>
      </c>
      <c r="C295" s="4">
        <v>46387</v>
      </c>
    </row>
    <row r="296" spans="1:3" s="1" customFormat="1" ht="18.75" customHeight="1" x14ac:dyDescent="0.4">
      <c r="A296" s="3" t="s">
        <v>575</v>
      </c>
      <c r="B296" s="3" t="s">
        <v>576</v>
      </c>
      <c r="C296" s="4">
        <v>46387</v>
      </c>
    </row>
    <row r="297" spans="1:3" s="1" customFormat="1" ht="18.75" customHeight="1" x14ac:dyDescent="0.4">
      <c r="A297" s="3" t="s">
        <v>516</v>
      </c>
      <c r="B297" s="3" t="str">
        <f>"尾道市因島土生町2023-5"</f>
        <v>尾道市因島土生町2023-5</v>
      </c>
      <c r="C297" s="4">
        <v>46387</v>
      </c>
    </row>
    <row r="298" spans="1:3" s="1" customFormat="1" ht="18.75" customHeight="1" x14ac:dyDescent="0.4">
      <c r="A298" s="3" t="s">
        <v>605</v>
      </c>
      <c r="B298" s="3" t="str">
        <f>"尾道市因島土生町2086-3"</f>
        <v>尾道市因島土生町2086-3</v>
      </c>
      <c r="C298" s="4">
        <v>46387</v>
      </c>
    </row>
    <row r="299" spans="1:3" s="1" customFormat="1" ht="18.75" customHeight="1" x14ac:dyDescent="0.4">
      <c r="A299" s="3" t="s">
        <v>598</v>
      </c>
      <c r="B299" s="3" t="s">
        <v>600</v>
      </c>
      <c r="C299" s="4">
        <v>47848</v>
      </c>
    </row>
    <row r="300" spans="1:3" s="1" customFormat="1" ht="18.75" customHeight="1" x14ac:dyDescent="0.4">
      <c r="A300" s="3" t="s">
        <v>1107</v>
      </c>
      <c r="B300" s="3" t="s">
        <v>600</v>
      </c>
      <c r="C300" s="4">
        <v>46752</v>
      </c>
    </row>
    <row r="301" spans="1:3" s="1" customFormat="1" ht="18.75" customHeight="1" x14ac:dyDescent="0.4">
      <c r="A301" s="3" t="s">
        <v>606</v>
      </c>
      <c r="B301" s="3" t="s">
        <v>301</v>
      </c>
      <c r="C301" s="4">
        <v>46387</v>
      </c>
    </row>
    <row r="302" spans="1:3" s="1" customFormat="1" ht="18.75" customHeight="1" x14ac:dyDescent="0.4">
      <c r="A302" s="3" t="s">
        <v>428</v>
      </c>
      <c r="B302" s="3" t="s">
        <v>522</v>
      </c>
      <c r="C302" s="4">
        <v>46387</v>
      </c>
    </row>
    <row r="303" spans="1:3" s="1" customFormat="1" ht="18.75" customHeight="1" x14ac:dyDescent="0.4">
      <c r="A303" s="3" t="s">
        <v>560</v>
      </c>
      <c r="B303" s="3" t="s">
        <v>561</v>
      </c>
      <c r="C303" s="4">
        <v>46752</v>
      </c>
    </row>
    <row r="304" spans="1:3" s="1" customFormat="1" ht="18.75" customHeight="1" x14ac:dyDescent="0.4">
      <c r="A304" s="3" t="s">
        <v>129</v>
      </c>
      <c r="B304" s="3" t="str">
        <f>"尾道市浦崎町3607-2"</f>
        <v>尾道市浦崎町3607-2</v>
      </c>
      <c r="C304" s="4">
        <v>46387</v>
      </c>
    </row>
    <row r="305" spans="1:3" s="1" customFormat="1" ht="18.75" customHeight="1" x14ac:dyDescent="0.4">
      <c r="A305" s="3" t="s">
        <v>547</v>
      </c>
      <c r="B305" s="3" t="str">
        <f>"尾道市沖側町12-35"</f>
        <v>尾道市沖側町12-35</v>
      </c>
      <c r="C305" s="4">
        <v>47483</v>
      </c>
    </row>
    <row r="306" spans="1:3" s="1" customFormat="1" ht="18.75" customHeight="1" x14ac:dyDescent="0.4">
      <c r="A306" s="3" t="s">
        <v>546</v>
      </c>
      <c r="B306" s="3" t="str">
        <f>"尾道市久保1-1-15"</f>
        <v>尾道市久保1-1-15</v>
      </c>
      <c r="C306" s="4">
        <v>46752</v>
      </c>
    </row>
    <row r="307" spans="1:3" s="1" customFormat="1" ht="18.75" customHeight="1" x14ac:dyDescent="0.4">
      <c r="A307" s="3" t="s">
        <v>502</v>
      </c>
      <c r="B307" s="3" t="str">
        <f>"尾道市久保1-13-18"</f>
        <v>尾道市久保1-13-18</v>
      </c>
      <c r="C307" s="4">
        <v>46387</v>
      </c>
    </row>
    <row r="308" spans="1:3" s="1" customFormat="1" ht="18.75" customHeight="1" x14ac:dyDescent="0.4">
      <c r="A308" s="3" t="s">
        <v>302</v>
      </c>
      <c r="B308" s="3" t="str">
        <f>"尾道市久保1-2-12"</f>
        <v>尾道市久保1-2-12</v>
      </c>
      <c r="C308" s="4">
        <v>46387</v>
      </c>
    </row>
    <row r="309" spans="1:3" s="1" customFormat="1" ht="18.75" customHeight="1" x14ac:dyDescent="0.4">
      <c r="A309" s="3" t="s">
        <v>22</v>
      </c>
      <c r="B309" s="3" t="str">
        <f>"尾道市久保1-2-4"</f>
        <v>尾道市久保1-2-4</v>
      </c>
      <c r="C309" s="4">
        <v>46387</v>
      </c>
    </row>
    <row r="310" spans="1:3" s="1" customFormat="1" ht="18.75" customHeight="1" x14ac:dyDescent="0.4">
      <c r="A310" s="3" t="s">
        <v>507</v>
      </c>
      <c r="B310" s="3" t="str">
        <f>"尾道市久保1-3-19"</f>
        <v>尾道市久保1-3-19</v>
      </c>
      <c r="C310" s="4">
        <v>46387</v>
      </c>
    </row>
    <row r="311" spans="1:3" s="1" customFormat="1" ht="18.75" customHeight="1" x14ac:dyDescent="0.4">
      <c r="A311" s="3" t="s">
        <v>226</v>
      </c>
      <c r="B311" s="3" t="str">
        <f>"尾道市久保2-24-17"</f>
        <v>尾道市久保2-24-17</v>
      </c>
      <c r="C311" s="4">
        <v>47483</v>
      </c>
    </row>
    <row r="312" spans="1:3" s="1" customFormat="1" ht="18.75" customHeight="1" x14ac:dyDescent="0.4">
      <c r="A312" s="3" t="s">
        <v>524</v>
      </c>
      <c r="B312" s="3" t="str">
        <f>"尾道市久保2-5-25"</f>
        <v>尾道市久保2-5-25</v>
      </c>
      <c r="C312" s="4">
        <v>46387</v>
      </c>
    </row>
    <row r="313" spans="1:3" s="1" customFormat="1" ht="18.75" customHeight="1" x14ac:dyDescent="0.4">
      <c r="A313" s="3" t="s">
        <v>343</v>
      </c>
      <c r="B313" s="3" t="str">
        <f>"尾道市久保3-14-22"</f>
        <v>尾道市久保3-14-22</v>
      </c>
      <c r="C313" s="4">
        <v>46387</v>
      </c>
    </row>
    <row r="314" spans="1:3" s="1" customFormat="1" ht="18.75" customHeight="1" x14ac:dyDescent="0.4">
      <c r="A314" s="3" t="s">
        <v>580</v>
      </c>
      <c r="B314" s="3" t="str">
        <f>"尾道市栗原西1-4-19"</f>
        <v>尾道市栗原西1-4-19</v>
      </c>
      <c r="C314" s="4">
        <v>46752</v>
      </c>
    </row>
    <row r="315" spans="1:3" s="1" customFormat="1" ht="18.75" customHeight="1" x14ac:dyDescent="0.4">
      <c r="A315" s="3" t="s">
        <v>185</v>
      </c>
      <c r="B315" s="3" t="str">
        <f>"尾道市栗原西1-9-15"</f>
        <v>尾道市栗原西1-9-15</v>
      </c>
      <c r="C315" s="4">
        <v>46387</v>
      </c>
    </row>
    <row r="316" spans="1:3" s="1" customFormat="1" ht="18.75" customHeight="1" x14ac:dyDescent="0.4">
      <c r="A316" s="3" t="s">
        <v>152</v>
      </c>
      <c r="B316" s="3" t="str">
        <f>"尾道市栗原西2-3-11"</f>
        <v>尾道市栗原西2-3-11</v>
      </c>
      <c r="C316" s="4">
        <v>46387</v>
      </c>
    </row>
    <row r="317" spans="1:3" s="1" customFormat="1" ht="18.75" customHeight="1" x14ac:dyDescent="0.4">
      <c r="A317" s="3" t="s">
        <v>142</v>
      </c>
      <c r="B317" s="3" t="str">
        <f>"尾道市栗原西2-5-9"</f>
        <v>尾道市栗原西2-5-9</v>
      </c>
      <c r="C317" s="4">
        <v>46387</v>
      </c>
    </row>
    <row r="318" spans="1:3" s="1" customFormat="1" ht="18.75" customHeight="1" x14ac:dyDescent="0.4">
      <c r="A318" s="3" t="s">
        <v>284</v>
      </c>
      <c r="B318" s="3" t="str">
        <f>"尾道市栗原西2-9-6"</f>
        <v>尾道市栗原西2-9-6</v>
      </c>
      <c r="C318" s="4">
        <v>46387</v>
      </c>
    </row>
    <row r="319" spans="1:3" s="1" customFormat="1" ht="18.75" customHeight="1" x14ac:dyDescent="0.4">
      <c r="A319" s="3" t="s">
        <v>594</v>
      </c>
      <c r="B319" s="3" t="s">
        <v>117</v>
      </c>
      <c r="C319" s="4">
        <v>47483</v>
      </c>
    </row>
    <row r="320" spans="1:3" s="1" customFormat="1" ht="18.75" customHeight="1" x14ac:dyDescent="0.4">
      <c r="A320" s="3" t="s">
        <v>549</v>
      </c>
      <c r="B320" s="3" t="str">
        <f>"尾道市栗原町5901-1"</f>
        <v>尾道市栗原町5901-1</v>
      </c>
      <c r="C320" s="4">
        <v>46387</v>
      </c>
    </row>
    <row r="321" spans="1:3" s="1" customFormat="1" ht="18.75" customHeight="1" x14ac:dyDescent="0.4">
      <c r="A321" s="3" t="s">
        <v>237</v>
      </c>
      <c r="B321" s="3" t="str">
        <f>"尾道市栗原町5901-1"</f>
        <v>尾道市栗原町5901-1</v>
      </c>
      <c r="C321" s="4">
        <v>46387</v>
      </c>
    </row>
    <row r="322" spans="1:3" s="1" customFormat="1" ht="18.75" customHeight="1" x14ac:dyDescent="0.4">
      <c r="A322" s="3" t="s">
        <v>555</v>
      </c>
      <c r="B322" s="3" t="str">
        <f>"尾道市栗原町5901-1-3F"</f>
        <v>尾道市栗原町5901-1-3F</v>
      </c>
      <c r="C322" s="4">
        <v>46387</v>
      </c>
    </row>
    <row r="323" spans="1:3" s="1" customFormat="1" ht="18.75" customHeight="1" x14ac:dyDescent="0.4">
      <c r="A323" s="3" t="s">
        <v>609</v>
      </c>
      <c r="B323" s="3" t="str">
        <f>"尾道市栗原町8234-1"</f>
        <v>尾道市栗原町8234-1</v>
      </c>
      <c r="C323" s="4">
        <v>46387</v>
      </c>
    </row>
    <row r="324" spans="1:3" s="1" customFormat="1" ht="18.75" customHeight="1" x14ac:dyDescent="0.4">
      <c r="A324" s="3" t="s">
        <v>223</v>
      </c>
      <c r="B324" s="3" t="str">
        <f>"尾道市栗原町8513-1"</f>
        <v>尾道市栗原町8513-1</v>
      </c>
      <c r="C324" s="4">
        <v>46387</v>
      </c>
    </row>
    <row r="325" spans="1:3" s="1" customFormat="1" ht="18.75" customHeight="1" x14ac:dyDescent="0.4">
      <c r="A325" s="3" t="s">
        <v>581</v>
      </c>
      <c r="B325" s="3" t="str">
        <f>"尾道市栗原町9650-4"</f>
        <v>尾道市栗原町9650-4</v>
      </c>
      <c r="C325" s="4">
        <v>46387</v>
      </c>
    </row>
    <row r="326" spans="1:3" s="1" customFormat="1" ht="18.75" customHeight="1" x14ac:dyDescent="0.4">
      <c r="A326" s="3" t="s">
        <v>523</v>
      </c>
      <c r="B326" s="3" t="str">
        <f>"尾道市栗原東2-4-32"</f>
        <v>尾道市栗原東2-4-32</v>
      </c>
      <c r="C326" s="4">
        <v>46752</v>
      </c>
    </row>
    <row r="327" spans="1:3" s="1" customFormat="1" ht="18.75" customHeight="1" x14ac:dyDescent="0.4">
      <c r="A327" s="3" t="s">
        <v>351</v>
      </c>
      <c r="B327" s="3" t="str">
        <f>"尾道市古浜町6-20"</f>
        <v>尾道市古浜町6-20</v>
      </c>
      <c r="C327" s="4">
        <v>46387</v>
      </c>
    </row>
    <row r="328" spans="1:3" s="1" customFormat="1" ht="18.75" customHeight="1" x14ac:dyDescent="0.4">
      <c r="A328" s="3" t="s">
        <v>1129</v>
      </c>
      <c r="B328" s="3" t="str">
        <f>"尾道市御調町丸河南721-1"</f>
        <v>尾道市御調町丸河南721-1</v>
      </c>
      <c r="C328" s="4">
        <v>46387</v>
      </c>
    </row>
    <row r="329" spans="1:3" s="1" customFormat="1" ht="18.75" customHeight="1" x14ac:dyDescent="0.4">
      <c r="A329" s="3" t="s">
        <v>565</v>
      </c>
      <c r="B329" s="3" t="str">
        <f>"尾道市御調町高尾1348-6"</f>
        <v>尾道市御調町高尾1348-6</v>
      </c>
      <c r="C329" s="4">
        <v>46387</v>
      </c>
    </row>
    <row r="330" spans="1:3" s="1" customFormat="1" ht="18.75" customHeight="1" x14ac:dyDescent="0.4">
      <c r="A330" s="3" t="s">
        <v>564</v>
      </c>
      <c r="B330" s="3" t="s">
        <v>168</v>
      </c>
      <c r="C330" s="4">
        <v>46387</v>
      </c>
    </row>
    <row r="331" spans="1:3" s="1" customFormat="1" ht="18.75" customHeight="1" x14ac:dyDescent="0.4">
      <c r="A331" s="3" t="s">
        <v>472</v>
      </c>
      <c r="B331" s="3" t="s">
        <v>1133</v>
      </c>
      <c r="C331" s="4">
        <v>46387</v>
      </c>
    </row>
    <row r="332" spans="1:3" s="1" customFormat="1" ht="18.75" customHeight="1" x14ac:dyDescent="0.4">
      <c r="A332" s="3" t="s">
        <v>579</v>
      </c>
      <c r="B332" s="3" t="s">
        <v>824</v>
      </c>
      <c r="C332" s="4">
        <v>46387</v>
      </c>
    </row>
    <row r="333" spans="1:3" s="1" customFormat="1" ht="18.75" customHeight="1" x14ac:dyDescent="0.4">
      <c r="A333" s="3" t="s">
        <v>1132</v>
      </c>
      <c r="B333" s="3" t="str">
        <f>"尾道市向島町542-35"</f>
        <v>尾道市向島町542-35</v>
      </c>
      <c r="C333" s="4">
        <v>46387</v>
      </c>
    </row>
    <row r="334" spans="1:3" s="1" customFormat="1" ht="18.75" customHeight="1" x14ac:dyDescent="0.4">
      <c r="A334" s="3" t="s">
        <v>1134</v>
      </c>
      <c r="B334" s="3" t="s">
        <v>1135</v>
      </c>
      <c r="C334" s="4">
        <v>46387</v>
      </c>
    </row>
    <row r="335" spans="1:3" s="1" customFormat="1" ht="18.75" customHeight="1" x14ac:dyDescent="0.4">
      <c r="A335" s="3" t="s">
        <v>1094</v>
      </c>
      <c r="B335" s="3" t="str">
        <f>"尾道市向島町576-1"</f>
        <v>尾道市向島町576-1</v>
      </c>
      <c r="C335" s="4">
        <v>46387</v>
      </c>
    </row>
    <row r="336" spans="1:3" s="1" customFormat="1" ht="18.75" customHeight="1" x14ac:dyDescent="0.4">
      <c r="A336" s="3" t="s">
        <v>73</v>
      </c>
      <c r="B336" s="3" t="str">
        <f>"尾道市向島町5883-7"</f>
        <v>尾道市向島町5883-7</v>
      </c>
      <c r="C336" s="4">
        <v>46752</v>
      </c>
    </row>
    <row r="337" spans="1:3" s="1" customFormat="1" ht="18.75" customHeight="1" x14ac:dyDescent="0.4">
      <c r="A337" s="3" t="s">
        <v>488</v>
      </c>
      <c r="B337" s="3" t="s">
        <v>1131</v>
      </c>
      <c r="C337" s="4">
        <v>46387</v>
      </c>
    </row>
    <row r="338" spans="1:3" s="1" customFormat="1" ht="18.75" customHeight="1" x14ac:dyDescent="0.4">
      <c r="A338" s="3" t="s">
        <v>552</v>
      </c>
      <c r="B338" s="3" t="str">
        <f>"尾道市向東町1014-1"</f>
        <v>尾道市向東町1014-1</v>
      </c>
      <c r="C338" s="4">
        <v>47118</v>
      </c>
    </row>
    <row r="339" spans="1:3" s="1" customFormat="1" ht="18.75" customHeight="1" x14ac:dyDescent="0.4">
      <c r="A339" s="3" t="s">
        <v>466</v>
      </c>
      <c r="B339" s="3" t="str">
        <f>"尾道市向東町3569-1"</f>
        <v>尾道市向東町3569-1</v>
      </c>
      <c r="C339" s="4">
        <v>46387</v>
      </c>
    </row>
    <row r="340" spans="1:3" s="1" customFormat="1" ht="18.75" customHeight="1" x14ac:dyDescent="0.4">
      <c r="A340" s="3" t="s">
        <v>100</v>
      </c>
      <c r="B340" s="3" t="str">
        <f>"尾道市向東町3570-5"</f>
        <v>尾道市向東町3570-5</v>
      </c>
      <c r="C340" s="4">
        <v>46387</v>
      </c>
    </row>
    <row r="341" spans="1:3" s="1" customFormat="1" ht="18.75" customHeight="1" x14ac:dyDescent="0.4">
      <c r="A341" s="3" t="s">
        <v>540</v>
      </c>
      <c r="B341" s="3" t="str">
        <f>"尾道市向東町8681-1"</f>
        <v>尾道市向東町8681-1</v>
      </c>
      <c r="C341" s="4">
        <v>46387</v>
      </c>
    </row>
    <row r="342" spans="1:3" s="1" customFormat="1" ht="18.75" customHeight="1" x14ac:dyDescent="0.4">
      <c r="A342" s="3" t="s">
        <v>527</v>
      </c>
      <c r="B342" s="3" t="str">
        <f>"尾道市高須町1286-3"</f>
        <v>尾道市高須町1286-3</v>
      </c>
      <c r="C342" s="4">
        <v>46387</v>
      </c>
    </row>
    <row r="343" spans="1:3" s="1" customFormat="1" ht="18.75" customHeight="1" x14ac:dyDescent="0.4">
      <c r="A343" s="3" t="s">
        <v>585</v>
      </c>
      <c r="B343" s="3" t="str">
        <f>"尾道市高須町1383-2"</f>
        <v>尾道市高須町1383-2</v>
      </c>
      <c r="C343" s="4">
        <v>46387</v>
      </c>
    </row>
    <row r="344" spans="1:3" s="1" customFormat="1" ht="18.75" customHeight="1" x14ac:dyDescent="0.4">
      <c r="A344" s="3" t="s">
        <v>504</v>
      </c>
      <c r="B344" s="3" t="s">
        <v>247</v>
      </c>
      <c r="C344" s="4">
        <v>46387</v>
      </c>
    </row>
    <row r="345" spans="1:3" s="1" customFormat="1" ht="18.75" customHeight="1" x14ac:dyDescent="0.4">
      <c r="A345" s="3" t="s">
        <v>159</v>
      </c>
      <c r="B345" s="3" t="str">
        <f>"尾道市高須町3659-1"</f>
        <v>尾道市高須町3659-1</v>
      </c>
      <c r="C345" s="4">
        <v>46387</v>
      </c>
    </row>
    <row r="346" spans="1:3" s="1" customFormat="1" ht="18.75" customHeight="1" x14ac:dyDescent="0.4">
      <c r="A346" s="3" t="s">
        <v>556</v>
      </c>
      <c r="B346" s="3" t="str">
        <f>"尾道市高須町4754-5"</f>
        <v>尾道市高須町4754-5</v>
      </c>
      <c r="C346" s="4">
        <v>46387</v>
      </c>
    </row>
    <row r="347" spans="1:3" s="1" customFormat="1" ht="18.75" customHeight="1" x14ac:dyDescent="0.4">
      <c r="A347" s="3" t="s">
        <v>537</v>
      </c>
      <c r="B347" s="3" t="str">
        <f>"尾道市高須町4755-7"</f>
        <v>尾道市高須町4755-7</v>
      </c>
      <c r="C347" s="4">
        <v>46387</v>
      </c>
    </row>
    <row r="348" spans="1:3" s="1" customFormat="1" ht="18.75" customHeight="1" x14ac:dyDescent="0.4">
      <c r="A348" s="3" t="s">
        <v>548</v>
      </c>
      <c r="B348" s="3" t="str">
        <f>"尾道市高須町4773-1"</f>
        <v>尾道市高須町4773-1</v>
      </c>
      <c r="C348" s="4">
        <v>46387</v>
      </c>
    </row>
    <row r="349" spans="1:3" s="1" customFormat="1" ht="18.75" customHeight="1" x14ac:dyDescent="0.4">
      <c r="A349" s="3" t="s">
        <v>314</v>
      </c>
      <c r="B349" s="3" t="str">
        <f>"尾道市高須町4788-10"</f>
        <v>尾道市高須町4788-10</v>
      </c>
      <c r="C349" s="4">
        <v>46387</v>
      </c>
    </row>
    <row r="350" spans="1:3" s="1" customFormat="1" ht="18.75" customHeight="1" x14ac:dyDescent="0.4">
      <c r="A350" s="3" t="s">
        <v>219</v>
      </c>
      <c r="B350" s="3" t="str">
        <f>"尾道市高須町4803-8"</f>
        <v>尾道市高須町4803-8</v>
      </c>
      <c r="C350" s="4">
        <v>46387</v>
      </c>
    </row>
    <row r="351" spans="1:3" s="1" customFormat="1" ht="18.75" customHeight="1" x14ac:dyDescent="0.4">
      <c r="A351" s="3" t="s">
        <v>354</v>
      </c>
      <c r="B351" s="3" t="s">
        <v>97</v>
      </c>
      <c r="C351" s="4">
        <v>46022</v>
      </c>
    </row>
    <row r="352" spans="1:3" s="1" customFormat="1" ht="18.75" customHeight="1" x14ac:dyDescent="0.4">
      <c r="A352" s="3" t="s">
        <v>589</v>
      </c>
      <c r="B352" s="3" t="s">
        <v>327</v>
      </c>
      <c r="C352" s="4">
        <v>46387</v>
      </c>
    </row>
    <row r="353" spans="1:3" s="1" customFormat="1" ht="18.75" customHeight="1" x14ac:dyDescent="0.4">
      <c r="A353" s="3" t="s">
        <v>420</v>
      </c>
      <c r="B353" s="3" t="str">
        <f>"尾道市三軒家町17-12"</f>
        <v>尾道市三軒家町17-12</v>
      </c>
      <c r="C353" s="4">
        <v>46387</v>
      </c>
    </row>
    <row r="354" spans="1:3" s="1" customFormat="1" ht="18.75" customHeight="1" x14ac:dyDescent="0.4">
      <c r="A354" s="3" t="s">
        <v>369</v>
      </c>
      <c r="B354" s="3" t="str">
        <f>"尾道市新高山3-1170-177"</f>
        <v>尾道市新高山3-1170-177</v>
      </c>
      <c r="C354" s="4">
        <v>46387</v>
      </c>
    </row>
    <row r="355" spans="1:3" s="1" customFormat="1" ht="18.75" customHeight="1" x14ac:dyDescent="0.4">
      <c r="A355" s="3" t="s">
        <v>518</v>
      </c>
      <c r="B355" s="3" t="str">
        <f>"尾道市新浜1-14-26"</f>
        <v>尾道市新浜1-14-26</v>
      </c>
      <c r="C355" s="4">
        <v>46387</v>
      </c>
    </row>
    <row r="356" spans="1:3" s="1" customFormat="1" ht="18.75" customHeight="1" x14ac:dyDescent="0.4">
      <c r="A356" s="3" t="s">
        <v>478</v>
      </c>
      <c r="B356" s="3" t="str">
        <f>"尾道市新浜2-10-12"</f>
        <v>尾道市新浜2-10-12</v>
      </c>
      <c r="C356" s="4">
        <v>46387</v>
      </c>
    </row>
    <row r="357" spans="1:3" s="1" customFormat="1" ht="18.75" customHeight="1" x14ac:dyDescent="0.4">
      <c r="A357" s="3" t="s">
        <v>509</v>
      </c>
      <c r="B357" s="3" t="str">
        <f>"尾道市新浜2-2-3"</f>
        <v>尾道市新浜2-2-3</v>
      </c>
      <c r="C357" s="4">
        <v>46387</v>
      </c>
    </row>
    <row r="358" spans="1:3" s="1" customFormat="1" ht="18.75" customHeight="1" x14ac:dyDescent="0.4">
      <c r="A358" s="3" t="s">
        <v>510</v>
      </c>
      <c r="B358" s="3" t="str">
        <f>"尾道市神田町2-24"</f>
        <v>尾道市神田町2-24</v>
      </c>
      <c r="C358" s="4">
        <v>46387</v>
      </c>
    </row>
    <row r="359" spans="1:3" s="1" customFormat="1" ht="18.75" customHeight="1" x14ac:dyDescent="0.4">
      <c r="A359" s="3" t="s">
        <v>382</v>
      </c>
      <c r="B359" s="3" t="s">
        <v>570</v>
      </c>
      <c r="C359" s="4">
        <v>47118</v>
      </c>
    </row>
    <row r="360" spans="1:3" s="1" customFormat="1" ht="18.75" customHeight="1" x14ac:dyDescent="0.4">
      <c r="A360" s="3" t="s">
        <v>1110</v>
      </c>
      <c r="B360" s="3" t="str">
        <f>"尾道市瀬戸田町瀬戸田349-7"</f>
        <v>尾道市瀬戸田町瀬戸田349-7</v>
      </c>
      <c r="C360" s="4">
        <v>46387</v>
      </c>
    </row>
    <row r="361" spans="1:3" s="1" customFormat="1" ht="18.75" customHeight="1" x14ac:dyDescent="0.4">
      <c r="A361" s="3" t="s">
        <v>460</v>
      </c>
      <c r="B361" s="3" t="s">
        <v>569</v>
      </c>
      <c r="C361" s="4">
        <v>46387</v>
      </c>
    </row>
    <row r="362" spans="1:3" s="1" customFormat="1" ht="18.75" customHeight="1" x14ac:dyDescent="0.4">
      <c r="A362" s="3" t="s">
        <v>423</v>
      </c>
      <c r="B362" s="3" t="str">
        <f>"尾道市西久保町12-28"</f>
        <v>尾道市西久保町12-28</v>
      </c>
      <c r="C362" s="4">
        <v>46387</v>
      </c>
    </row>
    <row r="363" spans="1:3" s="1" customFormat="1" ht="18.75" customHeight="1" x14ac:dyDescent="0.4">
      <c r="A363" s="3" t="s">
        <v>531</v>
      </c>
      <c r="B363" s="3" t="str">
        <f>"尾道市西御所町13-32"</f>
        <v>尾道市西御所町13-32</v>
      </c>
      <c r="C363" s="4">
        <v>46387</v>
      </c>
    </row>
    <row r="364" spans="1:3" s="1" customFormat="1" ht="18.75" customHeight="1" x14ac:dyDescent="0.4">
      <c r="A364" s="3" t="s">
        <v>520</v>
      </c>
      <c r="B364" s="3" t="str">
        <f>"尾道市西御所町2-9"</f>
        <v>尾道市西御所町2-9</v>
      </c>
      <c r="C364" s="4">
        <v>46387</v>
      </c>
    </row>
    <row r="365" spans="1:3" s="1" customFormat="1" ht="18.75" customHeight="1" x14ac:dyDescent="0.4">
      <c r="A365" s="3" t="s">
        <v>525</v>
      </c>
      <c r="B365" s="3" t="str">
        <f>"尾道市西御所町7-12"</f>
        <v>尾道市西御所町7-12</v>
      </c>
      <c r="C365" s="4">
        <v>46022</v>
      </c>
    </row>
    <row r="366" spans="1:3" s="1" customFormat="1" ht="18.75" customHeight="1" x14ac:dyDescent="0.4">
      <c r="A366" s="3" t="s">
        <v>511</v>
      </c>
      <c r="B366" s="3" t="str">
        <f>"尾道市西御所町9-9"</f>
        <v>尾道市西御所町9-9</v>
      </c>
      <c r="C366" s="4">
        <v>47118</v>
      </c>
    </row>
    <row r="367" spans="1:3" s="1" customFormat="1" ht="18.75" customHeight="1" x14ac:dyDescent="0.4">
      <c r="A367" s="3" t="s">
        <v>4</v>
      </c>
      <c r="B367" s="3" t="str">
        <f>"尾道市西則末町1-29"</f>
        <v>尾道市西則末町1-29</v>
      </c>
      <c r="C367" s="4">
        <v>46387</v>
      </c>
    </row>
    <row r="368" spans="1:3" s="1" customFormat="1" ht="18.75" customHeight="1" x14ac:dyDescent="0.4">
      <c r="A368" s="3" t="s">
        <v>11</v>
      </c>
      <c r="B368" s="3" t="str">
        <f>"尾道市長江1-23-8"</f>
        <v>尾道市長江1-23-8</v>
      </c>
      <c r="C368" s="4">
        <v>46387</v>
      </c>
    </row>
    <row r="369" spans="1:3" s="1" customFormat="1" ht="18.75" customHeight="1" x14ac:dyDescent="0.4">
      <c r="A369" s="3" t="s">
        <v>592</v>
      </c>
      <c r="B369" s="3" t="str">
        <f>"尾道市天満町16-14-11"</f>
        <v>尾道市天満町16-14-11</v>
      </c>
      <c r="C369" s="4">
        <v>47118</v>
      </c>
    </row>
    <row r="370" spans="1:3" s="1" customFormat="1" ht="18.75" customHeight="1" x14ac:dyDescent="0.4">
      <c r="A370" s="3" t="s">
        <v>476</v>
      </c>
      <c r="B370" s="3" t="str">
        <f>"尾道市土堂1-11-6"</f>
        <v>尾道市土堂1-11-6</v>
      </c>
      <c r="C370" s="4">
        <v>46387</v>
      </c>
    </row>
    <row r="371" spans="1:3" s="1" customFormat="1" ht="18.75" customHeight="1" x14ac:dyDescent="0.4">
      <c r="A371" s="3" t="s">
        <v>300</v>
      </c>
      <c r="B371" s="3" t="str">
        <f>"尾道市土堂2-2-8"</f>
        <v>尾道市土堂2-2-8</v>
      </c>
      <c r="C371" s="4">
        <v>46387</v>
      </c>
    </row>
    <row r="372" spans="1:3" s="1" customFormat="1" ht="18.75" customHeight="1" x14ac:dyDescent="0.4">
      <c r="A372" s="3" t="s">
        <v>499</v>
      </c>
      <c r="B372" s="3" t="str">
        <f>"尾道市土堂2-4-29"</f>
        <v>尾道市土堂2-4-29</v>
      </c>
      <c r="C372" s="4">
        <v>46387</v>
      </c>
    </row>
    <row r="373" spans="1:3" s="1" customFormat="1" ht="18.75" customHeight="1" x14ac:dyDescent="0.4">
      <c r="A373" s="3" t="s">
        <v>95</v>
      </c>
      <c r="B373" s="3" t="str">
        <f>"尾道市土堂2-6-17"</f>
        <v>尾道市土堂2-6-17</v>
      </c>
      <c r="C373" s="4">
        <v>46387</v>
      </c>
    </row>
    <row r="374" spans="1:3" s="1" customFormat="1" ht="18.75" customHeight="1" x14ac:dyDescent="0.4">
      <c r="A374" s="3" t="s">
        <v>535</v>
      </c>
      <c r="B374" s="3" t="str">
        <f>"尾道市美ノ郷町三成1065-1"</f>
        <v>尾道市美ノ郷町三成1065-1</v>
      </c>
      <c r="C374" s="4">
        <v>46387</v>
      </c>
    </row>
    <row r="375" spans="1:3" s="1" customFormat="1" ht="18.75" customHeight="1" x14ac:dyDescent="0.4">
      <c r="A375" s="3" t="s">
        <v>551</v>
      </c>
      <c r="B375" s="3" t="str">
        <f>"尾道市美ノ郷町三成226-5"</f>
        <v>尾道市美ノ郷町三成226-5</v>
      </c>
      <c r="C375" s="4">
        <v>46387</v>
      </c>
    </row>
    <row r="376" spans="1:3" s="1" customFormat="1" ht="18.75" customHeight="1" x14ac:dyDescent="0.4">
      <c r="A376" s="3" t="s">
        <v>190</v>
      </c>
      <c r="B376" s="3" t="s">
        <v>533</v>
      </c>
      <c r="C376" s="4">
        <v>46387</v>
      </c>
    </row>
    <row r="377" spans="1:3" s="1" customFormat="1" ht="18.75" customHeight="1" x14ac:dyDescent="0.4">
      <c r="A377" s="3" t="s">
        <v>579</v>
      </c>
      <c r="B377" s="3" t="s">
        <v>529</v>
      </c>
      <c r="C377" s="4">
        <v>46752</v>
      </c>
    </row>
    <row r="378" spans="1:3" s="1" customFormat="1" ht="18.75" customHeight="1" x14ac:dyDescent="0.4">
      <c r="A378" s="3" t="s">
        <v>586</v>
      </c>
      <c r="B378" s="3" t="s">
        <v>577</v>
      </c>
      <c r="C378" s="4">
        <v>47483</v>
      </c>
    </row>
    <row r="379" spans="1:3" s="1" customFormat="1" ht="18.75" customHeight="1" x14ac:dyDescent="0.4">
      <c r="A379" s="3" t="s">
        <v>571</v>
      </c>
      <c r="B379" s="3" t="str">
        <f>"尾道市平原1-10-23"</f>
        <v>尾道市平原1-10-23</v>
      </c>
      <c r="C379" s="4">
        <v>46387</v>
      </c>
    </row>
    <row r="380" spans="1:3" s="1" customFormat="1" ht="18.75" customHeight="1" x14ac:dyDescent="0.4">
      <c r="A380" s="3" t="s">
        <v>591</v>
      </c>
      <c r="B380" s="3" t="str">
        <f>"尾道市平原2-21-29"</f>
        <v>尾道市平原2-21-29</v>
      </c>
      <c r="C380" s="4">
        <v>46387</v>
      </c>
    </row>
    <row r="381" spans="1:3" s="1" customFormat="1" ht="18.75" customHeight="1" x14ac:dyDescent="0.4">
      <c r="A381" s="3" t="s">
        <v>158</v>
      </c>
      <c r="B381" s="3" t="str">
        <f>"尾道市門田町1-43"</f>
        <v>尾道市門田町1-43</v>
      </c>
      <c r="C381" s="4">
        <v>46387</v>
      </c>
    </row>
    <row r="382" spans="1:3" s="1" customFormat="1" ht="18.75" customHeight="1" x14ac:dyDescent="0.4">
      <c r="A382" s="3" t="s">
        <v>232</v>
      </c>
      <c r="B382" s="3" t="str">
        <f>"福山市芦田町福田1020-15"</f>
        <v>福山市芦田町福田1020-15</v>
      </c>
      <c r="C382" s="4">
        <v>46387</v>
      </c>
    </row>
    <row r="383" spans="1:3" s="1" customFormat="1" ht="18.75" customHeight="1" x14ac:dyDescent="0.4">
      <c r="A383" s="3" t="s">
        <v>1259</v>
      </c>
      <c r="B383" s="3" t="str">
        <f>"福山市伊勢丘1-1-6"</f>
        <v>福山市伊勢丘1-1-6</v>
      </c>
      <c r="C383" s="4">
        <v>47118</v>
      </c>
    </row>
    <row r="384" spans="1:3" s="1" customFormat="1" ht="18.75" customHeight="1" x14ac:dyDescent="0.4">
      <c r="A384" s="3" t="s">
        <v>1249</v>
      </c>
      <c r="B384" s="3" t="str">
        <f>"福山市伊勢丘2-1-2"</f>
        <v>福山市伊勢丘2-1-2</v>
      </c>
      <c r="C384" s="4">
        <v>46387</v>
      </c>
    </row>
    <row r="385" spans="1:3" s="1" customFormat="1" ht="18.75" customHeight="1" x14ac:dyDescent="0.4">
      <c r="A385" s="3" t="s">
        <v>1264</v>
      </c>
      <c r="B385" s="3" t="str">
        <f>"福山市伊勢丘3-15-25"</f>
        <v>福山市伊勢丘3-15-25</v>
      </c>
      <c r="C385" s="4">
        <v>47483</v>
      </c>
    </row>
    <row r="386" spans="1:3" s="1" customFormat="1" ht="18.75" customHeight="1" x14ac:dyDescent="0.4">
      <c r="A386" s="3" t="s">
        <v>254</v>
      </c>
      <c r="B386" s="3" t="str">
        <f>"福山市伊勢丘5-1-20"</f>
        <v>福山市伊勢丘5-1-20</v>
      </c>
      <c r="C386" s="4">
        <v>46387</v>
      </c>
    </row>
    <row r="387" spans="1:3" s="1" customFormat="1" ht="18.75" customHeight="1" x14ac:dyDescent="0.4">
      <c r="A387" s="3" t="s">
        <v>771</v>
      </c>
      <c r="B387" s="3" t="str">
        <f>"福山市引野町3-3-50"</f>
        <v>福山市引野町3-3-50</v>
      </c>
      <c r="C387" s="4">
        <v>46387</v>
      </c>
    </row>
    <row r="388" spans="1:3" s="1" customFormat="1" ht="18.75" customHeight="1" x14ac:dyDescent="0.4">
      <c r="A388" s="3" t="s">
        <v>1254</v>
      </c>
      <c r="B388" s="3" t="str">
        <f>"福山市引野町3-37-27"</f>
        <v>福山市引野町3-37-27</v>
      </c>
      <c r="C388" s="4">
        <v>46752</v>
      </c>
    </row>
    <row r="389" spans="1:3" s="1" customFormat="1" ht="18.75" customHeight="1" x14ac:dyDescent="0.4">
      <c r="A389" s="3" t="s">
        <v>433</v>
      </c>
      <c r="B389" s="3" t="str">
        <f>"福山市引野町4-20-30"</f>
        <v>福山市引野町4-20-30</v>
      </c>
      <c r="C389" s="4">
        <v>46387</v>
      </c>
    </row>
    <row r="390" spans="1:3" s="1" customFormat="1" ht="18.75" customHeight="1" x14ac:dyDescent="0.4">
      <c r="A390" s="3" t="s">
        <v>8</v>
      </c>
      <c r="B390" s="3" t="str">
        <f>"福山市引野町北1-23-14"</f>
        <v>福山市引野町北1-23-14</v>
      </c>
      <c r="C390" s="4">
        <v>46387</v>
      </c>
    </row>
    <row r="391" spans="1:3" s="1" customFormat="1" ht="18.75" customHeight="1" x14ac:dyDescent="0.4">
      <c r="A391" s="3" t="s">
        <v>1193</v>
      </c>
      <c r="B391" s="3" t="str">
        <f>"福山市駅家町近田1055-1"</f>
        <v>福山市駅家町近田1055-1</v>
      </c>
      <c r="C391" s="4">
        <v>46387</v>
      </c>
    </row>
    <row r="392" spans="1:3" s="1" customFormat="1" ht="18.75" customHeight="1" x14ac:dyDescent="0.4">
      <c r="A392" s="3" t="s">
        <v>1174</v>
      </c>
      <c r="B392" s="3" t="str">
        <f>"福山市駅家町江良264-4"</f>
        <v>福山市駅家町江良264-4</v>
      </c>
      <c r="C392" s="4">
        <v>46387</v>
      </c>
    </row>
    <row r="393" spans="1:3" s="1" customFormat="1" ht="18.75" customHeight="1" x14ac:dyDescent="0.4">
      <c r="A393" s="3" t="s">
        <v>1231</v>
      </c>
      <c r="B393" s="3" t="str">
        <f>"福山市駅家町江良427-3"</f>
        <v>福山市駅家町江良427-3</v>
      </c>
      <c r="C393" s="4">
        <v>46387</v>
      </c>
    </row>
    <row r="394" spans="1:3" s="1" customFormat="1" ht="18.75" customHeight="1" x14ac:dyDescent="0.4">
      <c r="A394" s="3" t="s">
        <v>645</v>
      </c>
      <c r="B394" s="3" t="str">
        <f>"福山市駅家町江良775-5"</f>
        <v>福山市駅家町江良775-5</v>
      </c>
      <c r="C394" s="4">
        <v>46387</v>
      </c>
    </row>
    <row r="395" spans="1:3" s="1" customFormat="1" ht="18.75" customHeight="1" x14ac:dyDescent="0.4">
      <c r="A395" s="3" t="s">
        <v>1233</v>
      </c>
      <c r="B395" s="3" t="str">
        <f>"福山市駅家町万能倉942-1"</f>
        <v>福山市駅家町万能倉942-1</v>
      </c>
      <c r="C395" s="4">
        <v>46387</v>
      </c>
    </row>
    <row r="396" spans="1:3" s="1" customFormat="1" ht="18.75" customHeight="1" x14ac:dyDescent="0.4">
      <c r="A396" s="3" t="s">
        <v>130</v>
      </c>
      <c r="B396" s="3" t="str">
        <f>"福山市沖野上町4-22-5"</f>
        <v>福山市沖野上町4-22-5</v>
      </c>
      <c r="C396" s="4">
        <v>46387</v>
      </c>
    </row>
    <row r="397" spans="1:3" s="1" customFormat="1" ht="18.75" customHeight="1" x14ac:dyDescent="0.4">
      <c r="A397" s="3" t="s">
        <v>1221</v>
      </c>
      <c r="B397" s="3" t="str">
        <f>"福山市加茂町中野375-4"</f>
        <v>福山市加茂町中野375-4</v>
      </c>
      <c r="C397" s="4">
        <v>46387</v>
      </c>
    </row>
    <row r="398" spans="1:3" s="1" customFormat="1" ht="18.75" customHeight="1" x14ac:dyDescent="0.4">
      <c r="A398" s="3" t="s">
        <v>1247</v>
      </c>
      <c r="B398" s="3" t="s">
        <v>115</v>
      </c>
      <c r="C398" s="4">
        <v>46387</v>
      </c>
    </row>
    <row r="399" spans="1:3" s="1" customFormat="1" ht="18.75" customHeight="1" x14ac:dyDescent="0.4">
      <c r="A399" s="3" t="s">
        <v>1217</v>
      </c>
      <c r="B399" s="3" t="str">
        <f>"福山市金江町金見2522-2"</f>
        <v>福山市金江町金見2522-2</v>
      </c>
      <c r="C399" s="4">
        <v>46387</v>
      </c>
    </row>
    <row r="400" spans="1:3" s="1" customFormat="1" ht="18.75" customHeight="1" x14ac:dyDescent="0.4">
      <c r="A400" s="3" t="s">
        <v>629</v>
      </c>
      <c r="B400" s="3" t="s">
        <v>1248</v>
      </c>
      <c r="C400" s="4">
        <v>46387</v>
      </c>
    </row>
    <row r="401" spans="1:3" s="1" customFormat="1" ht="18.75" customHeight="1" x14ac:dyDescent="0.4">
      <c r="A401" s="3" t="s">
        <v>1213</v>
      </c>
      <c r="B401" s="3" t="str">
        <f>"福山市元町6-7"</f>
        <v>福山市元町6-7</v>
      </c>
      <c r="C401" s="4">
        <v>46387</v>
      </c>
    </row>
    <row r="402" spans="1:3" s="1" customFormat="1" ht="18.75" customHeight="1" x14ac:dyDescent="0.4">
      <c r="A402" s="3" t="s">
        <v>1218</v>
      </c>
      <c r="B402" s="3" t="str">
        <f>"福山市御幸町下岩成1143-3"</f>
        <v>福山市御幸町下岩成1143-3</v>
      </c>
      <c r="C402" s="4">
        <v>46387</v>
      </c>
    </row>
    <row r="403" spans="1:3" s="1" customFormat="1" ht="18.75" customHeight="1" x14ac:dyDescent="0.4">
      <c r="A403" s="3" t="s">
        <v>1223</v>
      </c>
      <c r="B403" s="3" t="str">
        <f>"福山市御幸町上岩成148-13"</f>
        <v>福山市御幸町上岩成148-13</v>
      </c>
      <c r="C403" s="4">
        <v>46387</v>
      </c>
    </row>
    <row r="404" spans="1:3" s="1" customFormat="1" ht="18.75" customHeight="1" x14ac:dyDescent="0.4">
      <c r="A404" s="3" t="s">
        <v>1245</v>
      </c>
      <c r="B404" s="3" t="str">
        <f>"福山市御船町1-12-6"</f>
        <v>福山市御船町1-12-6</v>
      </c>
      <c r="C404" s="4">
        <v>46387</v>
      </c>
    </row>
    <row r="405" spans="1:3" s="1" customFormat="1" ht="18.75" customHeight="1" x14ac:dyDescent="0.4">
      <c r="A405" s="3" t="s">
        <v>1220</v>
      </c>
      <c r="B405" s="3" t="str">
        <f>"福山市御門町1-10-14"</f>
        <v>福山市御門町1-10-14</v>
      </c>
      <c r="C405" s="4">
        <v>46752</v>
      </c>
    </row>
    <row r="406" spans="1:3" s="1" customFormat="1" ht="18.75" customHeight="1" x14ac:dyDescent="0.4">
      <c r="A406" s="3" t="s">
        <v>1253</v>
      </c>
      <c r="B406" s="3" t="str">
        <f>"福山市光南町1-10-23"</f>
        <v>福山市光南町1-10-23</v>
      </c>
      <c r="C406" s="4">
        <v>46387</v>
      </c>
    </row>
    <row r="407" spans="1:3" s="1" customFormat="1" ht="18.75" customHeight="1" x14ac:dyDescent="0.4">
      <c r="A407" s="3" t="s">
        <v>1229</v>
      </c>
      <c r="B407" s="3" t="str">
        <f>"福山市高西町真田387-5"</f>
        <v>福山市高西町真田387-5</v>
      </c>
      <c r="C407" s="4">
        <v>46387</v>
      </c>
    </row>
    <row r="408" spans="1:3" s="1" customFormat="1" ht="18.75" customHeight="1" x14ac:dyDescent="0.4">
      <c r="A408" s="3" t="s">
        <v>1219</v>
      </c>
      <c r="B408" s="3" t="str">
        <f>"福山市今津町4-1-8"</f>
        <v>福山市今津町4-1-8</v>
      </c>
      <c r="C408" s="4">
        <v>46387</v>
      </c>
    </row>
    <row r="409" spans="1:3" s="1" customFormat="1" ht="18.75" customHeight="1" x14ac:dyDescent="0.4">
      <c r="A409" s="3" t="s">
        <v>517</v>
      </c>
      <c r="B409" s="3" t="s">
        <v>1215</v>
      </c>
      <c r="C409" s="4">
        <v>46387</v>
      </c>
    </row>
    <row r="410" spans="1:3" s="1" customFormat="1" ht="18.75" customHeight="1" x14ac:dyDescent="0.4">
      <c r="A410" s="3" t="s">
        <v>176</v>
      </c>
      <c r="B410" s="3" t="str">
        <f>"福山市桜馬場町1-30"</f>
        <v>福山市桜馬場町1-30</v>
      </c>
      <c r="C410" s="4">
        <v>46387</v>
      </c>
    </row>
    <row r="411" spans="1:3" s="1" customFormat="1" ht="18.75" customHeight="1" x14ac:dyDescent="0.4">
      <c r="A411" s="3" t="s">
        <v>1234</v>
      </c>
      <c r="B411" s="3" t="str">
        <f>"福山市三吉町1-9-4"</f>
        <v>福山市三吉町1-9-4</v>
      </c>
      <c r="C411" s="4">
        <v>46387</v>
      </c>
    </row>
    <row r="412" spans="1:3" s="1" customFormat="1" ht="18.75" customHeight="1" x14ac:dyDescent="0.4">
      <c r="A412" s="3" t="s">
        <v>410</v>
      </c>
      <c r="B412" s="3" t="str">
        <f>"福山市三吉町4-7-40"</f>
        <v>福山市三吉町4-7-40</v>
      </c>
      <c r="C412" s="4">
        <v>46387</v>
      </c>
    </row>
    <row r="413" spans="1:3" s="1" customFormat="1" ht="18.75" customHeight="1" x14ac:dyDescent="0.4">
      <c r="A413" s="3" t="s">
        <v>952</v>
      </c>
      <c r="B413" s="3" t="str">
        <f>"福山市三之丸町11-10"</f>
        <v>福山市三之丸町11-10</v>
      </c>
      <c r="C413" s="4">
        <v>46387</v>
      </c>
    </row>
    <row r="414" spans="1:3" s="1" customFormat="1" ht="18.75" customHeight="1" x14ac:dyDescent="0.4">
      <c r="A414" s="3" t="s">
        <v>971</v>
      </c>
      <c r="B414" s="3" t="str">
        <f>"福山市春日町1-2-47"</f>
        <v>福山市春日町1-2-47</v>
      </c>
      <c r="C414" s="4">
        <v>46387</v>
      </c>
    </row>
    <row r="415" spans="1:3" s="1" customFormat="1" ht="18.75" customHeight="1" x14ac:dyDescent="0.4">
      <c r="A415" s="3" t="s">
        <v>1256</v>
      </c>
      <c r="B415" s="3" t="str">
        <f>"福山市春日町7-1-18"</f>
        <v>福山市春日町7-1-18</v>
      </c>
      <c r="C415" s="4">
        <v>46387</v>
      </c>
    </row>
    <row r="416" spans="1:3" s="1" customFormat="1" ht="18.75" customHeight="1" x14ac:dyDescent="0.4">
      <c r="A416" s="3" t="s">
        <v>1181</v>
      </c>
      <c r="B416" s="3" t="str">
        <f>"福山市曙町5-23-47"</f>
        <v>福山市曙町5-23-47</v>
      </c>
      <c r="C416" s="4">
        <v>46387</v>
      </c>
    </row>
    <row r="417" spans="1:3" s="1" customFormat="1" ht="18.75" customHeight="1" x14ac:dyDescent="0.4">
      <c r="A417" s="3" t="s">
        <v>1216</v>
      </c>
      <c r="B417" s="3" t="str">
        <f>"福山市松永町4-16-6"</f>
        <v>福山市松永町4-16-6</v>
      </c>
      <c r="C417" s="4">
        <v>46387</v>
      </c>
    </row>
    <row r="418" spans="1:3" s="1" customFormat="1" ht="18.75" customHeight="1" x14ac:dyDescent="0.4">
      <c r="A418" s="3" t="s">
        <v>505</v>
      </c>
      <c r="B418" s="3" t="str">
        <f>"福山市松永町5-27-8-2"</f>
        <v>福山市松永町5-27-8-2</v>
      </c>
      <c r="C418" s="4">
        <v>47118</v>
      </c>
    </row>
    <row r="419" spans="1:3" s="1" customFormat="1" ht="18.75" customHeight="1" x14ac:dyDescent="0.4">
      <c r="A419" s="3" t="s">
        <v>1260</v>
      </c>
      <c r="B419" s="3" t="str">
        <f>"福山市沼隈町中山南469-3"</f>
        <v>福山市沼隈町中山南469-3</v>
      </c>
      <c r="C419" s="4">
        <v>47483</v>
      </c>
    </row>
    <row r="420" spans="1:3" s="1" customFormat="1" ht="18.75" customHeight="1" x14ac:dyDescent="0.4">
      <c r="A420" s="3" t="s">
        <v>654</v>
      </c>
      <c r="B420" s="3" t="str">
        <f>"福山市新涯町2-12-45"</f>
        <v>福山市新涯町2-12-45</v>
      </c>
      <c r="C420" s="4">
        <v>46387</v>
      </c>
    </row>
    <row r="421" spans="1:3" s="1" customFormat="1" ht="18.75" customHeight="1" x14ac:dyDescent="0.4">
      <c r="A421" s="3" t="s">
        <v>1040</v>
      </c>
      <c r="B421" s="3" t="str">
        <f>"福山市新涯町5-2-18"</f>
        <v>福山市新涯町5-2-18</v>
      </c>
      <c r="C421" s="4">
        <v>46387</v>
      </c>
    </row>
    <row r="422" spans="1:3" s="1" customFormat="1" ht="18.75" customHeight="1" x14ac:dyDescent="0.4">
      <c r="A422" s="3" t="s">
        <v>1326</v>
      </c>
      <c r="B422" s="3" t="s">
        <v>1327</v>
      </c>
      <c r="C422" s="4">
        <v>46387</v>
      </c>
    </row>
    <row r="423" spans="1:3" s="1" customFormat="1" ht="18.75" customHeight="1" x14ac:dyDescent="0.4">
      <c r="A423" s="3" t="s">
        <v>1328</v>
      </c>
      <c r="B423" s="3" t="s">
        <v>1201</v>
      </c>
      <c r="C423" s="4">
        <v>46387</v>
      </c>
    </row>
    <row r="424" spans="1:3" s="1" customFormat="1" ht="18.75" customHeight="1" x14ac:dyDescent="0.4">
      <c r="A424" s="3" t="s">
        <v>1265</v>
      </c>
      <c r="B424" s="3" t="str">
        <f>"福山市新市町新市462-1"</f>
        <v>福山市新市町新市462-1</v>
      </c>
      <c r="C424" s="4">
        <v>47483</v>
      </c>
    </row>
    <row r="425" spans="1:3" s="1" customFormat="1" ht="18.75" customHeight="1" x14ac:dyDescent="0.4">
      <c r="A425" s="3" t="s">
        <v>481</v>
      </c>
      <c r="B425" s="3" t="str">
        <f>"福山市神辺町上御領387-3"</f>
        <v>福山市神辺町上御領387-3</v>
      </c>
      <c r="C425" s="4">
        <v>46387</v>
      </c>
    </row>
    <row r="426" spans="1:3" s="1" customFormat="1" ht="18.75" customHeight="1" x14ac:dyDescent="0.4">
      <c r="A426" s="3" t="s">
        <v>563</v>
      </c>
      <c r="B426" s="3" t="str">
        <f>"福山市神辺町新湯野56-10"</f>
        <v>福山市神辺町新湯野56-10</v>
      </c>
      <c r="C426" s="4">
        <v>46387</v>
      </c>
    </row>
    <row r="427" spans="1:3" s="1" customFormat="1" ht="18.75" customHeight="1" x14ac:dyDescent="0.4">
      <c r="A427" s="3" t="s">
        <v>120</v>
      </c>
      <c r="B427" s="3" t="str">
        <f>"福山市神辺町新徳田3-495"</f>
        <v>福山市神辺町新徳田3-495</v>
      </c>
      <c r="C427" s="4">
        <v>46387</v>
      </c>
    </row>
    <row r="428" spans="1:3" s="1" customFormat="1" ht="18.75" customHeight="1" x14ac:dyDescent="0.4">
      <c r="A428" s="3" t="s">
        <v>1325</v>
      </c>
      <c r="B428" s="3" t="str">
        <f>"福山市神辺町川南1048-2"</f>
        <v>福山市神辺町川南1048-2</v>
      </c>
      <c r="C428" s="4">
        <v>47118</v>
      </c>
    </row>
    <row r="429" spans="1:3" s="1" customFormat="1" ht="18.75" customHeight="1" x14ac:dyDescent="0.4">
      <c r="A429" s="3" t="s">
        <v>296</v>
      </c>
      <c r="B429" s="3" t="str">
        <f>"福山市神辺町川南3173-1"</f>
        <v>福山市神辺町川南3173-1</v>
      </c>
      <c r="C429" s="4">
        <v>46387</v>
      </c>
    </row>
    <row r="430" spans="1:3" s="1" customFormat="1" ht="18.75" customHeight="1" x14ac:dyDescent="0.4">
      <c r="A430" s="3" t="s">
        <v>1247</v>
      </c>
      <c r="B430" s="3" t="str">
        <f>"福山市神辺町川南741-5"</f>
        <v>福山市神辺町川南741-5</v>
      </c>
      <c r="C430" s="4">
        <v>46387</v>
      </c>
    </row>
    <row r="431" spans="1:3" s="1" customFormat="1" ht="18.75" customHeight="1" x14ac:dyDescent="0.4">
      <c r="A431" s="3" t="s">
        <v>1050</v>
      </c>
      <c r="B431" s="3" t="str">
        <f>"福山市神辺町川北715-7"</f>
        <v>福山市神辺町川北715-7</v>
      </c>
      <c r="C431" s="4">
        <v>46387</v>
      </c>
    </row>
    <row r="432" spans="1:3" s="1" customFormat="1" ht="18.75" customHeight="1" x14ac:dyDescent="0.4">
      <c r="A432" s="3" t="s">
        <v>1324</v>
      </c>
      <c r="B432" s="3" t="str">
        <f>"福山市神辺町湯野265-7"</f>
        <v>福山市神辺町湯野265-7</v>
      </c>
      <c r="C432" s="4">
        <v>46387</v>
      </c>
    </row>
    <row r="433" spans="1:3" s="1" customFormat="1" ht="18.75" customHeight="1" x14ac:dyDescent="0.4">
      <c r="A433" s="3" t="s">
        <v>1257</v>
      </c>
      <c r="B433" s="3" t="str">
        <f>"福山市神辺町道上1011-5"</f>
        <v>福山市神辺町道上1011-5</v>
      </c>
      <c r="C433" s="4">
        <v>46387</v>
      </c>
    </row>
    <row r="434" spans="1:3" s="1" customFormat="1" ht="18.75" customHeight="1" x14ac:dyDescent="0.4">
      <c r="A434" s="3" t="s">
        <v>1323</v>
      </c>
      <c r="B434" s="3" t="str">
        <f>"福山市神辺町平野28-22"</f>
        <v>福山市神辺町平野28-22</v>
      </c>
      <c r="C434" s="4">
        <v>46387</v>
      </c>
    </row>
    <row r="435" spans="1:3" s="1" customFormat="1" ht="18.75" customHeight="1" x14ac:dyDescent="0.4">
      <c r="A435" s="3" t="s">
        <v>1071</v>
      </c>
      <c r="B435" s="3" t="str">
        <f>"福山市水呑町1862-3"</f>
        <v>福山市水呑町1862-3</v>
      </c>
      <c r="C435" s="4">
        <v>46387</v>
      </c>
    </row>
    <row r="436" spans="1:3" s="1" customFormat="1" ht="18.75" customHeight="1" x14ac:dyDescent="0.4">
      <c r="A436" s="3" t="s">
        <v>1212</v>
      </c>
      <c r="B436" s="3" t="s">
        <v>214</v>
      </c>
      <c r="C436" s="4">
        <v>46387</v>
      </c>
    </row>
    <row r="437" spans="1:3" s="1" customFormat="1" ht="18.75" customHeight="1" x14ac:dyDescent="0.4">
      <c r="A437" s="3" t="s">
        <v>1222</v>
      </c>
      <c r="B437" s="3" t="str">
        <f>"福山市水呑町3481-1"</f>
        <v>福山市水呑町3481-1</v>
      </c>
      <c r="C437" s="4">
        <v>46387</v>
      </c>
    </row>
    <row r="438" spans="1:3" s="1" customFormat="1" ht="18.75" customHeight="1" x14ac:dyDescent="0.4">
      <c r="A438" s="3" t="s">
        <v>161</v>
      </c>
      <c r="B438" s="3" t="str">
        <f>"福山市水呑町4487-2"</f>
        <v>福山市水呑町4487-2</v>
      </c>
      <c r="C438" s="4">
        <v>46387</v>
      </c>
    </row>
    <row r="439" spans="1:3" s="1" customFormat="1" ht="18.75" customHeight="1" x14ac:dyDescent="0.4">
      <c r="A439" s="3" t="s">
        <v>1227</v>
      </c>
      <c r="B439" s="3" t="s">
        <v>1228</v>
      </c>
      <c r="C439" s="4">
        <v>46387</v>
      </c>
    </row>
    <row r="440" spans="1:3" s="1" customFormat="1" ht="18.75" customHeight="1" x14ac:dyDescent="0.4">
      <c r="A440" s="3" t="s">
        <v>1258</v>
      </c>
      <c r="B440" s="3" t="str">
        <f>"福山市水呑町三新田1-538"</f>
        <v>福山市水呑町三新田1-538</v>
      </c>
      <c r="C440" s="4">
        <v>46387</v>
      </c>
    </row>
    <row r="441" spans="1:3" s="1" customFormat="1" ht="18.75" customHeight="1" x14ac:dyDescent="0.4">
      <c r="A441" s="3" t="s">
        <v>1238</v>
      </c>
      <c r="B441" s="3" t="s">
        <v>1239</v>
      </c>
      <c r="C441" s="4">
        <v>46387</v>
      </c>
    </row>
    <row r="442" spans="1:3" s="1" customFormat="1" ht="18.75" customHeight="1" x14ac:dyDescent="0.4">
      <c r="A442" s="3" t="s">
        <v>1213</v>
      </c>
      <c r="B442" s="3" t="str">
        <f>"福山市西桜町1-3-13"</f>
        <v>福山市西桜町1-3-13</v>
      </c>
      <c r="C442" s="4">
        <v>46387</v>
      </c>
    </row>
    <row r="443" spans="1:3" s="1" customFormat="1" ht="18.75" customHeight="1" x14ac:dyDescent="0.4">
      <c r="A443" s="3" t="s">
        <v>16</v>
      </c>
      <c r="B443" s="3" t="str">
        <f>"福山市西町2-14-7"</f>
        <v>福山市西町2-14-7</v>
      </c>
      <c r="C443" s="4">
        <v>46387</v>
      </c>
    </row>
    <row r="444" spans="1:3" s="1" customFormat="1" ht="18.75" customHeight="1" x14ac:dyDescent="0.4">
      <c r="A444" s="3" t="s">
        <v>1251</v>
      </c>
      <c r="B444" s="3" t="str">
        <f>"福山市西町3-15-17"</f>
        <v>福山市西町3-15-17</v>
      </c>
      <c r="C444" s="4">
        <v>46387</v>
      </c>
    </row>
    <row r="445" spans="1:3" s="1" customFormat="1" ht="18.75" customHeight="1" x14ac:dyDescent="0.4">
      <c r="A445" s="3" t="s">
        <v>1244</v>
      </c>
      <c r="B445" s="3" t="s">
        <v>632</v>
      </c>
      <c r="C445" s="4">
        <v>46387</v>
      </c>
    </row>
    <row r="446" spans="1:3" s="1" customFormat="1" ht="18.75" customHeight="1" x14ac:dyDescent="0.4">
      <c r="A446" s="3" t="s">
        <v>15</v>
      </c>
      <c r="B446" s="3" t="str">
        <f>"福山市千田町1-35-1"</f>
        <v>福山市千田町1-35-1</v>
      </c>
      <c r="C446" s="4">
        <v>46387</v>
      </c>
    </row>
    <row r="447" spans="1:3" s="1" customFormat="1" ht="18.75" customHeight="1" x14ac:dyDescent="0.4">
      <c r="A447" s="3" t="s">
        <v>677</v>
      </c>
      <c r="B447" s="3" t="str">
        <f>"福山市千田町2-41-11"</f>
        <v>福山市千田町2-41-11</v>
      </c>
      <c r="C447" s="4">
        <v>46387</v>
      </c>
    </row>
    <row r="448" spans="1:3" s="1" customFormat="1" ht="18.75" customHeight="1" x14ac:dyDescent="0.4">
      <c r="A448" s="3" t="s">
        <v>46</v>
      </c>
      <c r="B448" s="3" t="s">
        <v>1230</v>
      </c>
      <c r="C448" s="4">
        <v>46387</v>
      </c>
    </row>
    <row r="449" spans="1:3" s="1" customFormat="1" ht="18.75" customHeight="1" x14ac:dyDescent="0.4">
      <c r="A449" s="3" t="s">
        <v>1030</v>
      </c>
      <c r="B449" s="3" t="str">
        <f>"福山市川口町2-22-3"</f>
        <v>福山市川口町2-22-3</v>
      </c>
      <c r="C449" s="4">
        <v>46387</v>
      </c>
    </row>
    <row r="450" spans="1:3" s="1" customFormat="1" ht="18.75" customHeight="1" x14ac:dyDescent="0.4">
      <c r="A450" s="3" t="s">
        <v>1255</v>
      </c>
      <c r="B450" s="3" t="str">
        <f>"福山市蔵王町5-23-1"</f>
        <v>福山市蔵王町5-23-1</v>
      </c>
      <c r="C450" s="4">
        <v>46387</v>
      </c>
    </row>
    <row r="451" spans="1:3" s="1" customFormat="1" ht="18.75" customHeight="1" x14ac:dyDescent="0.4">
      <c r="A451" s="3" t="s">
        <v>777</v>
      </c>
      <c r="B451" s="3" t="str">
        <f>"福山市多治米町1-25-15"</f>
        <v>福山市多治米町1-25-15</v>
      </c>
      <c r="C451" s="4">
        <v>47848</v>
      </c>
    </row>
    <row r="452" spans="1:3" s="1" customFormat="1" ht="18.75" customHeight="1" x14ac:dyDescent="0.4">
      <c r="A452" s="3" t="s">
        <v>1250</v>
      </c>
      <c r="B452" s="3" t="str">
        <f>"福山市多治米町5-25-8"</f>
        <v>福山市多治米町5-25-8</v>
      </c>
      <c r="C452" s="4">
        <v>46387</v>
      </c>
    </row>
    <row r="453" spans="1:3" s="1" customFormat="1" ht="18.75" customHeight="1" x14ac:dyDescent="0.4">
      <c r="A453" s="3" t="s">
        <v>147</v>
      </c>
      <c r="B453" s="3" t="str">
        <f>"福山市多治米町5-28-15"</f>
        <v>福山市多治米町5-28-15</v>
      </c>
      <c r="C453" s="4">
        <v>46387</v>
      </c>
    </row>
    <row r="454" spans="1:3" s="1" customFormat="1" ht="18.75" customHeight="1" x14ac:dyDescent="0.4">
      <c r="A454" s="3" t="s">
        <v>1240</v>
      </c>
      <c r="B454" s="3" t="str">
        <f>"福山市大谷台3-16-8"</f>
        <v>福山市大谷台3-16-8</v>
      </c>
      <c r="C454" s="4">
        <v>46387</v>
      </c>
    </row>
    <row r="455" spans="1:3" s="1" customFormat="1" ht="18.75" customHeight="1" x14ac:dyDescent="0.4">
      <c r="A455" s="3" t="s">
        <v>375</v>
      </c>
      <c r="B455" s="3" t="str">
        <f>"福山市大門町1-38-26"</f>
        <v>福山市大門町1-38-26</v>
      </c>
      <c r="C455" s="4">
        <v>46387</v>
      </c>
    </row>
    <row r="456" spans="1:3" s="1" customFormat="1" ht="18.75" customHeight="1" x14ac:dyDescent="0.4">
      <c r="A456" s="3" t="s">
        <v>709</v>
      </c>
      <c r="B456" s="3" t="str">
        <f>"福山市大門町3-23-32"</f>
        <v>福山市大門町3-23-32</v>
      </c>
      <c r="C456" s="4">
        <v>46387</v>
      </c>
    </row>
    <row r="457" spans="1:3" s="1" customFormat="1" ht="18.75" customHeight="1" x14ac:dyDescent="0.4">
      <c r="A457" s="3" t="s">
        <v>1115</v>
      </c>
      <c r="B457" s="3" t="s">
        <v>663</v>
      </c>
      <c r="C457" s="4">
        <v>46387</v>
      </c>
    </row>
    <row r="458" spans="1:3" s="1" customFormat="1" ht="18.75" customHeight="1" x14ac:dyDescent="0.4">
      <c r="A458" s="3" t="s">
        <v>1235</v>
      </c>
      <c r="B458" s="3" t="str">
        <f>"福山市津之郷町津之郷1261-2"</f>
        <v>福山市津之郷町津之郷1261-2</v>
      </c>
      <c r="C458" s="4">
        <v>46387</v>
      </c>
    </row>
    <row r="459" spans="1:3" s="1" customFormat="1" ht="18.75" customHeight="1" x14ac:dyDescent="0.4">
      <c r="A459" s="3" t="s">
        <v>1243</v>
      </c>
      <c r="B459" s="3" t="str">
        <f>"福山市坪生町4-2-6"</f>
        <v>福山市坪生町4-2-6</v>
      </c>
      <c r="C459" s="4">
        <v>46387</v>
      </c>
    </row>
    <row r="460" spans="1:3" s="1" customFormat="1" ht="18.75" customHeight="1" x14ac:dyDescent="0.4">
      <c r="A460" s="3" t="s">
        <v>1262</v>
      </c>
      <c r="B460" s="3" t="str">
        <f>"福山市坪生町6-23-16-2"</f>
        <v>福山市坪生町6-23-16-2</v>
      </c>
      <c r="C460" s="4">
        <v>46387</v>
      </c>
    </row>
    <row r="461" spans="1:3" s="1" customFormat="1" ht="18.75" customHeight="1" x14ac:dyDescent="0.4">
      <c r="A461" s="3" t="s">
        <v>1242</v>
      </c>
      <c r="B461" s="3" t="str">
        <f>"福山市東手城町1-29-1"</f>
        <v>福山市東手城町1-29-1</v>
      </c>
      <c r="C461" s="4">
        <v>46387</v>
      </c>
    </row>
    <row r="462" spans="1:3" s="1" customFormat="1" ht="18.75" customHeight="1" x14ac:dyDescent="0.4">
      <c r="A462" s="3" t="s">
        <v>344</v>
      </c>
      <c r="B462" s="3" t="str">
        <f>"福山市東深津町2-7-27"</f>
        <v>福山市東深津町2-7-27</v>
      </c>
      <c r="C462" s="4">
        <v>46387</v>
      </c>
    </row>
    <row r="463" spans="1:3" s="1" customFormat="1" ht="18.75" customHeight="1" x14ac:dyDescent="0.4">
      <c r="A463" s="3" t="s">
        <v>402</v>
      </c>
      <c r="B463" s="3" t="str">
        <f>"福山市東町3-1-15"</f>
        <v>福山市東町3-1-15</v>
      </c>
      <c r="C463" s="4">
        <v>46387</v>
      </c>
    </row>
    <row r="464" spans="1:3" s="1" customFormat="1" ht="18.75" customHeight="1" x14ac:dyDescent="0.4">
      <c r="A464" s="3" t="s">
        <v>1236</v>
      </c>
      <c r="B464" s="3" t="str">
        <f>"福山市道三町7-14"</f>
        <v>福山市道三町7-14</v>
      </c>
      <c r="C464" s="4">
        <v>46387</v>
      </c>
    </row>
    <row r="465" spans="1:3" s="1" customFormat="1" ht="18.75" customHeight="1" x14ac:dyDescent="0.4">
      <c r="A465" s="3" t="s">
        <v>43</v>
      </c>
      <c r="B465" s="3" t="str">
        <f>"福山市南蔵王町4-1-14"</f>
        <v>福山市南蔵王町4-1-14</v>
      </c>
      <c r="C465" s="4">
        <v>46387</v>
      </c>
    </row>
    <row r="466" spans="1:3" s="1" customFormat="1" ht="18.75" customHeight="1" x14ac:dyDescent="0.4">
      <c r="A466" s="3" t="s">
        <v>125</v>
      </c>
      <c r="B466" s="3" t="str">
        <f>"福山市南蔵王町5-16-35"</f>
        <v>福山市南蔵王町5-16-35</v>
      </c>
      <c r="C466" s="4">
        <v>46387</v>
      </c>
    </row>
    <row r="467" spans="1:3" s="1" customFormat="1" ht="18.75" customHeight="1" x14ac:dyDescent="0.4">
      <c r="A467" s="3" t="s">
        <v>1263</v>
      </c>
      <c r="B467" s="3" t="str">
        <f>"福山市南蔵王町5-4-26"</f>
        <v>福山市南蔵王町5-4-26</v>
      </c>
      <c r="C467" s="4">
        <v>47483</v>
      </c>
    </row>
    <row r="468" spans="1:3" s="1" customFormat="1" ht="18.75" customHeight="1" x14ac:dyDescent="0.4">
      <c r="A468" s="3" t="s">
        <v>1232</v>
      </c>
      <c r="B468" s="3" t="str">
        <f>"福山市南蔵王町5-9-18"</f>
        <v>福山市南蔵王町5-9-18</v>
      </c>
      <c r="C468" s="4">
        <v>46387</v>
      </c>
    </row>
    <row r="469" spans="1:3" s="1" customFormat="1" ht="18.75" customHeight="1" x14ac:dyDescent="0.4">
      <c r="A469" s="3" t="s">
        <v>1226</v>
      </c>
      <c r="B469" s="3" t="str">
        <f>"福山市南蔵王町6-19-34"</f>
        <v>福山市南蔵王町6-19-34</v>
      </c>
      <c r="C469" s="4">
        <v>46387</v>
      </c>
    </row>
    <row r="470" spans="1:3" s="1" customFormat="1" ht="18.75" customHeight="1" x14ac:dyDescent="0.4">
      <c r="A470" s="3" t="s">
        <v>45</v>
      </c>
      <c r="B470" s="3" t="str">
        <f>"福山市南蔵王町6-25-5"</f>
        <v>福山市南蔵王町6-25-5</v>
      </c>
      <c r="C470" s="4">
        <v>46387</v>
      </c>
    </row>
    <row r="471" spans="1:3" s="1" customFormat="1" ht="18.75" customHeight="1" x14ac:dyDescent="0.4">
      <c r="A471" s="3" t="s">
        <v>439</v>
      </c>
      <c r="B471" s="3" t="str">
        <f>"福山市伏見町4-32"</f>
        <v>福山市伏見町4-32</v>
      </c>
      <c r="C471" s="4">
        <v>46387</v>
      </c>
    </row>
    <row r="472" spans="1:3" s="1" customFormat="1" ht="18.75" customHeight="1" x14ac:dyDescent="0.4">
      <c r="A472" s="3" t="s">
        <v>1005</v>
      </c>
      <c r="B472" s="3" t="str">
        <f>"福山市北吉津町2-1-14"</f>
        <v>福山市北吉津町2-1-14</v>
      </c>
      <c r="C472" s="4">
        <v>46387</v>
      </c>
    </row>
    <row r="473" spans="1:3" s="1" customFormat="1" ht="18.75" customHeight="1" x14ac:dyDescent="0.4">
      <c r="A473" s="3" t="s">
        <v>767</v>
      </c>
      <c r="B473" s="3" t="str">
        <f>"福山市本郷町3065-2"</f>
        <v>福山市本郷町3065-2</v>
      </c>
      <c r="C473" s="4">
        <v>46387</v>
      </c>
    </row>
    <row r="474" spans="1:3" s="1" customFormat="1" ht="18.75" customHeight="1" x14ac:dyDescent="0.4">
      <c r="A474" s="3" t="s">
        <v>1261</v>
      </c>
      <c r="B474" s="3" t="str">
        <f>"福山市明王台1-5-8"</f>
        <v>福山市明王台1-5-8</v>
      </c>
      <c r="C474" s="4">
        <v>46022</v>
      </c>
    </row>
    <row r="475" spans="1:3" s="1" customFormat="1" ht="18.75" customHeight="1" x14ac:dyDescent="0.4">
      <c r="A475" s="3" t="s">
        <v>1166</v>
      </c>
      <c r="B475" s="3" t="str">
        <f>"福山市明治町11-1"</f>
        <v>福山市明治町11-1</v>
      </c>
      <c r="C475" s="4">
        <v>46387</v>
      </c>
    </row>
    <row r="476" spans="1:3" s="1" customFormat="1" ht="18.75" customHeight="1" x14ac:dyDescent="0.4">
      <c r="A476" s="3" t="s">
        <v>1252</v>
      </c>
      <c r="B476" s="3" t="str">
        <f>"福山市木之庄町3-10-20"</f>
        <v>福山市木之庄町3-10-20</v>
      </c>
      <c r="C476" s="4">
        <v>46387</v>
      </c>
    </row>
    <row r="477" spans="1:3" s="1" customFormat="1" ht="18.75" customHeight="1" x14ac:dyDescent="0.4">
      <c r="A477" s="3" t="s">
        <v>1241</v>
      </c>
      <c r="B477" s="3" t="str">
        <f>"福山市野上町2-15-1"</f>
        <v>福山市野上町2-15-1</v>
      </c>
      <c r="C477" s="4">
        <v>46387</v>
      </c>
    </row>
    <row r="478" spans="1:3" s="1" customFormat="1" ht="18.75" customHeight="1" x14ac:dyDescent="0.4">
      <c r="A478" s="3" t="s">
        <v>1225</v>
      </c>
      <c r="B478" s="3" t="str">
        <f>"福山市野上町3-12-21"</f>
        <v>福山市野上町3-12-21</v>
      </c>
      <c r="C478" s="4">
        <v>46387</v>
      </c>
    </row>
    <row r="479" spans="1:3" s="1" customFormat="1" ht="18.75" customHeight="1" x14ac:dyDescent="0.4">
      <c r="A479" s="3" t="s">
        <v>454</v>
      </c>
      <c r="B479" s="3" t="str">
        <f>"福山市柳津町2-11-20"</f>
        <v>福山市柳津町2-11-20</v>
      </c>
      <c r="C479" s="4">
        <v>46387</v>
      </c>
    </row>
    <row r="480" spans="1:3" s="1" customFormat="1" ht="18.75" customHeight="1" x14ac:dyDescent="0.4">
      <c r="A480" s="3" t="s">
        <v>858</v>
      </c>
      <c r="B480" s="3" t="str">
        <f>"福山市旭町8-17"</f>
        <v>福山市旭町8-17</v>
      </c>
      <c r="C480" s="4">
        <v>47483</v>
      </c>
    </row>
    <row r="481" spans="1:3" s="1" customFormat="1" ht="18.75" customHeight="1" x14ac:dyDescent="0.4">
      <c r="A481" s="3" t="s">
        <v>177</v>
      </c>
      <c r="B481" s="3" t="s">
        <v>508</v>
      </c>
      <c r="C481" s="4">
        <v>46387</v>
      </c>
    </row>
    <row r="482" spans="1:3" s="1" customFormat="1" ht="18.75" customHeight="1" x14ac:dyDescent="0.4">
      <c r="A482" s="3" t="s">
        <v>124</v>
      </c>
      <c r="B482" s="3" t="str">
        <f>"福山市伊勢丘3-3-1"</f>
        <v>福山市伊勢丘3-3-1</v>
      </c>
      <c r="C482" s="4">
        <v>47422</v>
      </c>
    </row>
    <row r="483" spans="1:3" s="1" customFormat="1" ht="18.75" customHeight="1" x14ac:dyDescent="0.4">
      <c r="A483" s="3" t="s">
        <v>545</v>
      </c>
      <c r="B483" s="3" t="str">
        <f>"福山市伊勢丘5-1-30"</f>
        <v>福山市伊勢丘5-1-30</v>
      </c>
      <c r="C483" s="4">
        <v>46387</v>
      </c>
    </row>
    <row r="484" spans="1:3" s="1" customFormat="1" ht="18.75" customHeight="1" x14ac:dyDescent="0.4">
      <c r="A484" s="3" t="s">
        <v>276</v>
      </c>
      <c r="B484" s="3" t="str">
        <f>"福山市伊勢丘5-6-1"</f>
        <v>福山市伊勢丘5-6-1</v>
      </c>
      <c r="C484" s="4">
        <v>46387</v>
      </c>
    </row>
    <row r="485" spans="1:3" s="1" customFormat="1" ht="18.75" customHeight="1" x14ac:dyDescent="0.4">
      <c r="A485" s="3" t="s">
        <v>826</v>
      </c>
      <c r="B485" s="3" t="str">
        <f>"福山市伊勢丘6-1-26"</f>
        <v>福山市伊勢丘6-1-26</v>
      </c>
      <c r="C485" s="4">
        <v>47118</v>
      </c>
    </row>
    <row r="486" spans="1:3" s="1" customFormat="1" ht="18.75" customHeight="1" x14ac:dyDescent="0.4">
      <c r="A486" s="3" t="s">
        <v>399</v>
      </c>
      <c r="B486" s="3" t="str">
        <f>"福山市伊勢丘6-1-30"</f>
        <v>福山市伊勢丘6-1-30</v>
      </c>
      <c r="C486" s="4">
        <v>46752</v>
      </c>
    </row>
    <row r="487" spans="1:3" s="1" customFormat="1" ht="18.75" customHeight="1" x14ac:dyDescent="0.4">
      <c r="A487" s="3" t="s">
        <v>291</v>
      </c>
      <c r="B487" s="3" t="str">
        <f>"福山市伊勢丘6-1-33"</f>
        <v>福山市伊勢丘6-1-33</v>
      </c>
      <c r="C487" s="4">
        <v>46387</v>
      </c>
    </row>
    <row r="488" spans="1:3" s="1" customFormat="1" ht="18.75" customHeight="1" x14ac:dyDescent="0.4">
      <c r="A488" s="3" t="s">
        <v>836</v>
      </c>
      <c r="B488" s="3" t="str">
        <f>"福山市引野町1-19-30"</f>
        <v>福山市引野町1-19-30</v>
      </c>
      <c r="C488" s="4">
        <v>47848</v>
      </c>
    </row>
    <row r="489" spans="1:3" s="1" customFormat="1" ht="18.75" customHeight="1" x14ac:dyDescent="0.4">
      <c r="A489" s="3" t="s">
        <v>139</v>
      </c>
      <c r="B489" s="3" t="str">
        <f>"福山市引野町2-20-17"</f>
        <v>福山市引野町2-20-17</v>
      </c>
      <c r="C489" s="4">
        <v>46387</v>
      </c>
    </row>
    <row r="490" spans="1:3" s="1" customFormat="1" ht="18.75" customHeight="1" x14ac:dyDescent="0.4">
      <c r="A490" s="3" t="s">
        <v>772</v>
      </c>
      <c r="B490" s="3" t="str">
        <f>"福山市引野町4-22-19"</f>
        <v>福山市引野町4-22-19</v>
      </c>
      <c r="C490" s="4">
        <v>47483</v>
      </c>
    </row>
    <row r="491" spans="1:3" s="1" customFormat="1" ht="18.75" customHeight="1" x14ac:dyDescent="0.4">
      <c r="A491" s="3" t="s">
        <v>613</v>
      </c>
      <c r="B491" s="3" t="str">
        <f>"福山市引野町5-9-21"</f>
        <v>福山市引野町5-9-21</v>
      </c>
      <c r="C491" s="4">
        <v>46387</v>
      </c>
    </row>
    <row r="492" spans="1:3" s="1" customFormat="1" ht="18.75" customHeight="1" x14ac:dyDescent="0.4">
      <c r="A492" s="3" t="s">
        <v>829</v>
      </c>
      <c r="B492" s="3" t="s">
        <v>328</v>
      </c>
      <c r="C492" s="4">
        <v>47848</v>
      </c>
    </row>
    <row r="493" spans="1:3" s="1" customFormat="1" ht="18.75" customHeight="1" x14ac:dyDescent="0.4">
      <c r="A493" s="3" t="s">
        <v>848</v>
      </c>
      <c r="B493" s="3" t="str">
        <f>"福山市駅家町近田234-2"</f>
        <v>福山市駅家町近田234-2</v>
      </c>
      <c r="C493" s="4">
        <v>46752</v>
      </c>
    </row>
    <row r="494" spans="1:3" s="1" customFormat="1" ht="18.75" customHeight="1" x14ac:dyDescent="0.4">
      <c r="A494" s="3" t="s">
        <v>846</v>
      </c>
      <c r="B494" s="3" t="str">
        <f>"福山市駅家町近田234-2-2F"</f>
        <v>福山市駅家町近田234-2-2F</v>
      </c>
      <c r="C494" s="4">
        <v>46752</v>
      </c>
    </row>
    <row r="495" spans="1:3" s="1" customFormat="1" ht="18.75" customHeight="1" x14ac:dyDescent="0.4">
      <c r="A495" s="3" t="s">
        <v>669</v>
      </c>
      <c r="B495" s="3" t="s">
        <v>107</v>
      </c>
      <c r="C495" s="4">
        <v>46387</v>
      </c>
    </row>
    <row r="496" spans="1:3" s="1" customFormat="1" ht="18.75" customHeight="1" x14ac:dyDescent="0.4">
      <c r="A496" s="3" t="s">
        <v>668</v>
      </c>
      <c r="B496" s="3" t="s">
        <v>282</v>
      </c>
      <c r="C496" s="4">
        <v>47118</v>
      </c>
    </row>
    <row r="497" spans="1:3" s="1" customFormat="1" ht="18.75" customHeight="1" x14ac:dyDescent="0.4">
      <c r="A497" s="3" t="s">
        <v>299</v>
      </c>
      <c r="B497" s="3" t="str">
        <f>"福山市駅家町向永谷666-3"</f>
        <v>福山市駅家町向永谷666-3</v>
      </c>
      <c r="C497" s="4">
        <v>46387</v>
      </c>
    </row>
    <row r="498" spans="1:3" s="1" customFormat="1" ht="18.75" customHeight="1" x14ac:dyDescent="0.4">
      <c r="A498" s="3" t="s">
        <v>279</v>
      </c>
      <c r="B498" s="3" t="str">
        <f>"福山市駅家町江良427-1"</f>
        <v>福山市駅家町江良427-1</v>
      </c>
      <c r="C498" s="4">
        <v>46387</v>
      </c>
    </row>
    <row r="499" spans="1:3" s="1" customFormat="1" ht="18.75" customHeight="1" x14ac:dyDescent="0.4">
      <c r="A499" s="3" t="s">
        <v>673</v>
      </c>
      <c r="B499" s="3" t="s">
        <v>675</v>
      </c>
      <c r="C499" s="4">
        <v>46387</v>
      </c>
    </row>
    <row r="500" spans="1:3" s="1" customFormat="1" ht="18.75" customHeight="1" x14ac:dyDescent="0.4">
      <c r="A500" s="3" t="s">
        <v>831</v>
      </c>
      <c r="B500" s="3" t="str">
        <f>"福山市駅家町上山守450-5"</f>
        <v>福山市駅家町上山守450-5</v>
      </c>
      <c r="C500" s="4">
        <v>46752</v>
      </c>
    </row>
    <row r="501" spans="1:3" s="1" customFormat="1" ht="18.75" customHeight="1" x14ac:dyDescent="0.4">
      <c r="A501" s="3" t="s">
        <v>514</v>
      </c>
      <c r="B501" s="3" t="str">
        <f>"福山市駅家町倉光156-1"</f>
        <v>福山市駅家町倉光156-1</v>
      </c>
      <c r="C501" s="4">
        <v>46752</v>
      </c>
    </row>
    <row r="502" spans="1:3" s="1" customFormat="1" ht="18.75" customHeight="1" x14ac:dyDescent="0.4">
      <c r="A502" s="3" t="s">
        <v>243</v>
      </c>
      <c r="B502" s="3" t="s">
        <v>443</v>
      </c>
      <c r="C502" s="4">
        <v>46387</v>
      </c>
    </row>
    <row r="503" spans="1:3" s="1" customFormat="1" ht="18.75" customHeight="1" x14ac:dyDescent="0.4">
      <c r="A503" s="3" t="s">
        <v>727</v>
      </c>
      <c r="B503" s="3" t="str">
        <f>"福山市駅家町法成寺4-1"</f>
        <v>福山市駅家町法成寺4-1</v>
      </c>
      <c r="C503" s="4">
        <v>46387</v>
      </c>
    </row>
    <row r="504" spans="1:3" s="1" customFormat="1" ht="18.75" customHeight="1" x14ac:dyDescent="0.4">
      <c r="A504" s="3" t="s">
        <v>853</v>
      </c>
      <c r="B504" s="3" t="str">
        <f>"福山市駅家町坊寺58-1"</f>
        <v>福山市駅家町坊寺58-1</v>
      </c>
      <c r="C504" s="4">
        <v>47483</v>
      </c>
    </row>
    <row r="505" spans="1:3" s="1" customFormat="1" ht="18.75" customHeight="1" x14ac:dyDescent="0.4">
      <c r="A505" s="3" t="s">
        <v>496</v>
      </c>
      <c r="B505" s="3" t="str">
        <f>"福山市駅家町万能倉1245-4"</f>
        <v>福山市駅家町万能倉1245-4</v>
      </c>
      <c r="C505" s="4">
        <v>46387</v>
      </c>
    </row>
    <row r="506" spans="1:3" s="1" customFormat="1" ht="18.75" customHeight="1" x14ac:dyDescent="0.4">
      <c r="A506" s="3" t="s">
        <v>170</v>
      </c>
      <c r="B506" s="3" t="s">
        <v>413</v>
      </c>
      <c r="C506" s="4">
        <v>46387</v>
      </c>
    </row>
    <row r="507" spans="1:3" s="1" customFormat="1" ht="18.75" customHeight="1" x14ac:dyDescent="0.4">
      <c r="A507" s="3" t="s">
        <v>841</v>
      </c>
      <c r="B507" s="3" t="str">
        <f>"福山市駅家町万能倉786-7"</f>
        <v>福山市駅家町万能倉786-7</v>
      </c>
      <c r="C507" s="4">
        <v>46387</v>
      </c>
    </row>
    <row r="508" spans="1:3" s="1" customFormat="1" ht="18.75" customHeight="1" x14ac:dyDescent="0.4">
      <c r="A508" s="3" t="s">
        <v>631</v>
      </c>
      <c r="B508" s="3" t="str">
        <f>"福山市駅家町万能倉910-15"</f>
        <v>福山市駅家町万能倉910-15</v>
      </c>
      <c r="C508" s="4">
        <v>47848</v>
      </c>
    </row>
    <row r="509" spans="1:3" s="1" customFormat="1" ht="18.75" customHeight="1" x14ac:dyDescent="0.4">
      <c r="A509" s="3" t="s">
        <v>737</v>
      </c>
      <c r="B509" s="3" t="str">
        <f>"福山市駅家町万能倉925-3"</f>
        <v>福山市駅家町万能倉925-3</v>
      </c>
      <c r="C509" s="4">
        <v>46387</v>
      </c>
    </row>
    <row r="510" spans="1:3" s="1" customFormat="1" ht="18.75" customHeight="1" x14ac:dyDescent="0.4">
      <c r="A510" s="3" t="s">
        <v>336</v>
      </c>
      <c r="B510" s="3" t="str">
        <f>"福山市駅家町万能倉96-3"</f>
        <v>福山市駅家町万能倉96-3</v>
      </c>
      <c r="C510" s="4">
        <v>46387</v>
      </c>
    </row>
    <row r="511" spans="1:3" s="1" customFormat="1" ht="18.75" customHeight="1" x14ac:dyDescent="0.4">
      <c r="A511" s="3" t="s">
        <v>550</v>
      </c>
      <c r="B511" s="3" t="str">
        <f>"福山市横尾町1-21-8"</f>
        <v>福山市横尾町1-21-8</v>
      </c>
      <c r="C511" s="4">
        <v>46387</v>
      </c>
    </row>
    <row r="512" spans="1:3" s="1" customFormat="1" ht="18.75" customHeight="1" x14ac:dyDescent="0.4">
      <c r="A512" s="3" t="s">
        <v>734</v>
      </c>
      <c r="B512" s="3" t="str">
        <f>"福山市王子町2-14-11"</f>
        <v>福山市王子町2-14-11</v>
      </c>
      <c r="C512" s="4">
        <v>46387</v>
      </c>
    </row>
    <row r="513" spans="1:3" s="1" customFormat="1" ht="18.75" customHeight="1" x14ac:dyDescent="0.4">
      <c r="A513" s="3" t="s">
        <v>715</v>
      </c>
      <c r="B513" s="3" t="str">
        <f>"福山市沖野上町3-1-17"</f>
        <v>福山市沖野上町3-1-17</v>
      </c>
      <c r="C513" s="4">
        <v>47483</v>
      </c>
    </row>
    <row r="514" spans="1:3" s="1" customFormat="1" ht="18.75" customHeight="1" x14ac:dyDescent="0.4">
      <c r="A514" s="3" t="s">
        <v>732</v>
      </c>
      <c r="B514" s="3" t="str">
        <f>"福山市沖野上町3-12-16"</f>
        <v>福山市沖野上町3-12-16</v>
      </c>
      <c r="C514" s="4">
        <v>47483</v>
      </c>
    </row>
    <row r="515" spans="1:3" s="1" customFormat="1" ht="18.75" customHeight="1" x14ac:dyDescent="0.4">
      <c r="A515" s="3" t="s">
        <v>461</v>
      </c>
      <c r="B515" s="3" t="str">
        <f>"福山市沖野上町3-4-13"</f>
        <v>福山市沖野上町3-4-13</v>
      </c>
      <c r="C515" s="4">
        <v>46752</v>
      </c>
    </row>
    <row r="516" spans="1:3" s="1" customFormat="1" ht="18.75" customHeight="1" x14ac:dyDescent="0.4">
      <c r="A516" s="3" t="s">
        <v>79</v>
      </c>
      <c r="B516" s="3" t="str">
        <f>"福山市沖野上町3-6-28"</f>
        <v>福山市沖野上町3-6-28</v>
      </c>
      <c r="C516" s="4">
        <v>46387</v>
      </c>
    </row>
    <row r="517" spans="1:3" s="1" customFormat="1" ht="18.75" customHeight="1" x14ac:dyDescent="0.4">
      <c r="A517" s="3" t="s">
        <v>1167</v>
      </c>
      <c r="B517" s="3" t="str">
        <f>"福山市沖野上町4-14-17"</f>
        <v>福山市沖野上町4-14-17</v>
      </c>
      <c r="C517" s="4">
        <v>46387</v>
      </c>
    </row>
    <row r="518" spans="1:3" s="1" customFormat="1" ht="18.75" customHeight="1" x14ac:dyDescent="0.4">
      <c r="A518" s="3" t="s">
        <v>810</v>
      </c>
      <c r="B518" s="3" t="str">
        <f>"福山市沖野上町4-3-26"</f>
        <v>福山市沖野上町4-3-26</v>
      </c>
      <c r="C518" s="4">
        <v>46387</v>
      </c>
    </row>
    <row r="519" spans="1:3" s="1" customFormat="1" ht="18.75" customHeight="1" x14ac:dyDescent="0.4">
      <c r="A519" s="3" t="s">
        <v>272</v>
      </c>
      <c r="B519" s="3" t="str">
        <f>"福山市沖野上町6-11-24"</f>
        <v>福山市沖野上町6-11-24</v>
      </c>
      <c r="C519" s="4">
        <v>46387</v>
      </c>
    </row>
    <row r="520" spans="1:3" s="1" customFormat="1" ht="18.75" customHeight="1" x14ac:dyDescent="0.4">
      <c r="A520" s="3" t="s">
        <v>253</v>
      </c>
      <c r="B520" s="3" t="str">
        <f>"福山市沖野上町6-11-24"</f>
        <v>福山市沖野上町6-11-24</v>
      </c>
      <c r="C520" s="4">
        <v>47483</v>
      </c>
    </row>
    <row r="521" spans="1:3" s="1" customFormat="1" ht="18.75" customHeight="1" x14ac:dyDescent="0.4">
      <c r="A521" s="3" t="s">
        <v>607</v>
      </c>
      <c r="B521" s="3" t="s">
        <v>37</v>
      </c>
      <c r="C521" s="4">
        <v>46387</v>
      </c>
    </row>
    <row r="522" spans="1:3" s="1" customFormat="1" ht="18.75" customHeight="1" x14ac:dyDescent="0.4">
      <c r="A522" s="3" t="s">
        <v>530</v>
      </c>
      <c r="B522" s="3" t="str">
        <f>"福山市加茂町中野403-3"</f>
        <v>福山市加茂町中野403-3</v>
      </c>
      <c r="C522" s="4">
        <v>46387</v>
      </c>
    </row>
    <row r="523" spans="1:3" s="1" customFormat="1" ht="18.75" customHeight="1" x14ac:dyDescent="0.4">
      <c r="A523" s="3" t="s">
        <v>785</v>
      </c>
      <c r="B523" s="3" t="str">
        <f>"福山市花園町1-3-9"</f>
        <v>福山市花園町1-3-9</v>
      </c>
      <c r="C523" s="4">
        <v>46387</v>
      </c>
    </row>
    <row r="524" spans="1:3" s="1" customFormat="1" ht="18.75" customHeight="1" x14ac:dyDescent="0.4">
      <c r="A524" s="3" t="s">
        <v>628</v>
      </c>
      <c r="B524" s="3" t="str">
        <f>"福山市花園町2-6-28"</f>
        <v>福山市花園町2-6-28</v>
      </c>
      <c r="C524" s="4">
        <v>46387</v>
      </c>
    </row>
    <row r="525" spans="1:3" s="1" customFormat="1" ht="18.75" customHeight="1" x14ac:dyDescent="0.4">
      <c r="A525" s="3" t="s">
        <v>647</v>
      </c>
      <c r="B525" s="3" t="str">
        <f>"福山市霞町2-2-3"</f>
        <v>福山市霞町2-2-3</v>
      </c>
      <c r="C525" s="4">
        <v>46387</v>
      </c>
    </row>
    <row r="526" spans="1:3" s="1" customFormat="1" ht="18.75" customHeight="1" x14ac:dyDescent="0.4">
      <c r="A526" s="3" t="s">
        <v>678</v>
      </c>
      <c r="B526" s="3" t="str">
        <f>"福山市霞町2-4-3"</f>
        <v>福山市霞町2-4-3</v>
      </c>
      <c r="C526" s="4">
        <v>46387</v>
      </c>
    </row>
    <row r="527" spans="1:3" s="1" customFormat="1" ht="18.75" customHeight="1" x14ac:dyDescent="0.4">
      <c r="A527" s="3" t="s">
        <v>261</v>
      </c>
      <c r="B527" s="3" t="str">
        <f>"福山市宮前町1-3-15"</f>
        <v>福山市宮前町1-3-15</v>
      </c>
      <c r="C527" s="4">
        <v>46387</v>
      </c>
    </row>
    <row r="528" spans="1:3" s="1" customFormat="1" ht="18.75" customHeight="1" x14ac:dyDescent="0.4">
      <c r="A528" s="3" t="s">
        <v>405</v>
      </c>
      <c r="B528" s="3" t="str">
        <f>"福山市宮前町2-6-20"</f>
        <v>福山市宮前町2-6-20</v>
      </c>
      <c r="C528" s="4">
        <v>46387</v>
      </c>
    </row>
    <row r="529" spans="1:3" s="1" customFormat="1" ht="18.75" customHeight="1" x14ac:dyDescent="0.4">
      <c r="A529" s="3" t="s">
        <v>706</v>
      </c>
      <c r="B529" s="3" t="str">
        <f>"福山市金江町金見2879-8"</f>
        <v>福山市金江町金見2879-8</v>
      </c>
      <c r="C529" s="4">
        <v>46387</v>
      </c>
    </row>
    <row r="530" spans="1:3" s="1" customFormat="1" ht="18.75" customHeight="1" x14ac:dyDescent="0.4">
      <c r="A530" s="3" t="s">
        <v>685</v>
      </c>
      <c r="B530" s="3" t="str">
        <f>"福山市金江町藁江590-1"</f>
        <v>福山市金江町藁江590-1</v>
      </c>
      <c r="C530" s="4">
        <v>46387</v>
      </c>
    </row>
    <row r="531" spans="1:3" s="1" customFormat="1" ht="18.75" customHeight="1" x14ac:dyDescent="0.4">
      <c r="A531" s="3" t="s">
        <v>689</v>
      </c>
      <c r="B531" s="3" t="str">
        <f>"福山市元町15-28"</f>
        <v>福山市元町15-28</v>
      </c>
      <c r="C531" s="4">
        <v>46387</v>
      </c>
    </row>
    <row r="532" spans="1:3" s="1" customFormat="1" ht="18.75" customHeight="1" x14ac:dyDescent="0.4">
      <c r="A532" s="3" t="s">
        <v>521</v>
      </c>
      <c r="B532" s="3" t="str">
        <f>"福山市元町7-3"</f>
        <v>福山市元町7-3</v>
      </c>
      <c r="C532" s="4">
        <v>46387</v>
      </c>
    </row>
    <row r="533" spans="1:3" s="1" customFormat="1" ht="18.75" customHeight="1" x14ac:dyDescent="0.4">
      <c r="A533" s="3" t="s">
        <v>136</v>
      </c>
      <c r="B533" s="3" t="str">
        <f>"福山市御幸町下岩成649-5"</f>
        <v>福山市御幸町下岩成649-5</v>
      </c>
      <c r="C533" s="4">
        <v>46387</v>
      </c>
    </row>
    <row r="534" spans="1:3" s="1" customFormat="1" ht="18.75" customHeight="1" x14ac:dyDescent="0.4">
      <c r="A534" s="3" t="s">
        <v>93</v>
      </c>
      <c r="B534" s="3" t="str">
        <f>"福山市御幸町下岩成中町316-1"</f>
        <v>福山市御幸町下岩成中町316-1</v>
      </c>
      <c r="C534" s="4">
        <v>46387</v>
      </c>
    </row>
    <row r="535" spans="1:3" s="1" customFormat="1" ht="18.75" customHeight="1" x14ac:dyDescent="0.4">
      <c r="A535" s="3" t="s">
        <v>637</v>
      </c>
      <c r="B535" s="3" t="str">
        <f>"福山市御幸町上岩成148-13"</f>
        <v>福山市御幸町上岩成148-13</v>
      </c>
      <c r="C535" s="4">
        <v>46387</v>
      </c>
    </row>
    <row r="536" spans="1:3" s="1" customFormat="1" ht="18.75" customHeight="1" x14ac:dyDescent="0.4">
      <c r="A536" s="3" t="s">
        <v>674</v>
      </c>
      <c r="B536" s="3" t="str">
        <f>"福山市御幸町上岩成234-1"</f>
        <v>福山市御幸町上岩成234-1</v>
      </c>
      <c r="C536" s="4">
        <v>46387</v>
      </c>
    </row>
    <row r="537" spans="1:3" s="1" customFormat="1" ht="18.75" customHeight="1" x14ac:dyDescent="0.4">
      <c r="A537" s="3" t="s">
        <v>141</v>
      </c>
      <c r="B537" s="3" t="str">
        <f>"福山市御船町1-11-11"</f>
        <v>福山市御船町1-11-11</v>
      </c>
      <c r="C537" s="4">
        <v>46387</v>
      </c>
    </row>
    <row r="538" spans="1:3" s="1" customFormat="1" ht="18.75" customHeight="1" x14ac:dyDescent="0.4">
      <c r="A538" s="3" t="s">
        <v>739</v>
      </c>
      <c r="B538" s="3" t="str">
        <f>"福山市御船町1-9-3"</f>
        <v>福山市御船町1-9-3</v>
      </c>
      <c r="C538" s="4">
        <v>47848</v>
      </c>
    </row>
    <row r="539" spans="1:3" s="1" customFormat="1" ht="18.75" customHeight="1" x14ac:dyDescent="0.4">
      <c r="A539" s="3" t="s">
        <v>819</v>
      </c>
      <c r="B539" s="3" t="str">
        <f>"福山市御船町1-9-3-2F"</f>
        <v>福山市御船町1-9-3-2F</v>
      </c>
      <c r="C539" s="4">
        <v>47118</v>
      </c>
    </row>
    <row r="540" spans="1:3" s="1" customFormat="1" ht="18.75" customHeight="1" x14ac:dyDescent="0.4">
      <c r="A540" s="3" t="s">
        <v>765</v>
      </c>
      <c r="B540" s="3" t="str">
        <f>"福山市御門町2-5-29"</f>
        <v>福山市御門町2-5-29</v>
      </c>
      <c r="C540" s="4">
        <v>46387</v>
      </c>
    </row>
    <row r="541" spans="1:3" s="1" customFormat="1" ht="18.75" customHeight="1" x14ac:dyDescent="0.4">
      <c r="A541" s="3" t="s">
        <v>265</v>
      </c>
      <c r="B541" s="3" t="str">
        <f>"福山市御門町3-2-8"</f>
        <v>福山市御門町3-2-8</v>
      </c>
      <c r="C541" s="4">
        <v>46022</v>
      </c>
    </row>
    <row r="542" spans="1:3" s="1" customFormat="1" ht="18.75" customHeight="1" x14ac:dyDescent="0.4">
      <c r="A542" s="3" t="s">
        <v>630</v>
      </c>
      <c r="B542" s="3" t="str">
        <f>"福山市御門町3-3-15"</f>
        <v>福山市御門町3-3-15</v>
      </c>
      <c r="C542" s="4">
        <v>46387</v>
      </c>
    </row>
    <row r="543" spans="1:3" s="1" customFormat="1" ht="18.75" customHeight="1" x14ac:dyDescent="0.4">
      <c r="A543" s="3" t="s">
        <v>542</v>
      </c>
      <c r="B543" s="3" t="str">
        <f>"福山市御門町3-9-23"</f>
        <v>福山市御門町3-9-23</v>
      </c>
      <c r="C543" s="4">
        <v>46387</v>
      </c>
    </row>
    <row r="544" spans="1:3" s="1" customFormat="1" ht="18.75" customHeight="1" x14ac:dyDescent="0.4">
      <c r="A544" s="3" t="s">
        <v>417</v>
      </c>
      <c r="B544" s="3" t="str">
        <f>"福山市光南町1-7-9"</f>
        <v>福山市光南町1-7-9</v>
      </c>
      <c r="C544" s="4">
        <v>46387</v>
      </c>
    </row>
    <row r="545" spans="1:3" s="1" customFormat="1" ht="18.75" customHeight="1" x14ac:dyDescent="0.4">
      <c r="A545" s="3" t="s">
        <v>774</v>
      </c>
      <c r="B545" s="3" t="str">
        <f>"福山市光南町3-7-8"</f>
        <v>福山市光南町3-7-8</v>
      </c>
      <c r="C545" s="4">
        <v>46387</v>
      </c>
    </row>
    <row r="546" spans="1:3" s="1" customFormat="1" ht="18.75" customHeight="1" x14ac:dyDescent="0.4">
      <c r="A546" s="3" t="s">
        <v>644</v>
      </c>
      <c r="B546" s="3" t="str">
        <f>"福山市港町1-15-30"</f>
        <v>福山市港町1-15-30</v>
      </c>
      <c r="C546" s="4">
        <v>46387</v>
      </c>
    </row>
    <row r="547" spans="1:3" s="1" customFormat="1" ht="18.75" customHeight="1" x14ac:dyDescent="0.4">
      <c r="A547" s="3" t="s">
        <v>625</v>
      </c>
      <c r="B547" s="3" t="str">
        <f>"福山市港町2-5-25"</f>
        <v>福山市港町2-5-25</v>
      </c>
      <c r="C547" s="4">
        <v>47118</v>
      </c>
    </row>
    <row r="548" spans="1:3" s="1" customFormat="1" ht="18.75" customHeight="1" x14ac:dyDescent="0.4">
      <c r="A548" s="3" t="s">
        <v>779</v>
      </c>
      <c r="B548" s="3" t="str">
        <f>"福山市紅葉町3-24"</f>
        <v>福山市紅葉町3-24</v>
      </c>
      <c r="C548" s="4">
        <v>46387</v>
      </c>
    </row>
    <row r="549" spans="1:3" s="1" customFormat="1" ht="18.75" customHeight="1" x14ac:dyDescent="0.4">
      <c r="A549" s="3" t="s">
        <v>656</v>
      </c>
      <c r="B549" s="3" t="str">
        <f>"福山市高西町1-7-30"</f>
        <v>福山市高西町1-7-30</v>
      </c>
      <c r="C549" s="4">
        <v>47118</v>
      </c>
    </row>
    <row r="550" spans="1:3" s="1" customFormat="1" ht="18.75" customHeight="1" x14ac:dyDescent="0.4">
      <c r="A550" s="3" t="s">
        <v>649</v>
      </c>
      <c r="B550" s="3" t="str">
        <f>"福山市今津町2-1-24"</f>
        <v>福山市今津町2-1-24</v>
      </c>
      <c r="C550" s="4">
        <v>47118</v>
      </c>
    </row>
    <row r="551" spans="1:3" s="1" customFormat="1" ht="18.75" customHeight="1" x14ac:dyDescent="0.4">
      <c r="A551" s="3" t="s">
        <v>723</v>
      </c>
      <c r="B551" s="3" t="str">
        <f>"福山市今津町2-3-18"</f>
        <v>福山市今津町2-3-18</v>
      </c>
      <c r="C551" s="4">
        <v>46387</v>
      </c>
    </row>
    <row r="552" spans="1:3" s="1" customFormat="1" ht="18.75" customHeight="1" x14ac:dyDescent="0.4">
      <c r="A552" s="3" t="s">
        <v>648</v>
      </c>
      <c r="B552" s="3" t="str">
        <f>"福山市今津町3-8-10"</f>
        <v>福山市今津町3-8-10</v>
      </c>
      <c r="C552" s="4">
        <v>46387</v>
      </c>
    </row>
    <row r="553" spans="1:3" s="1" customFormat="1" ht="18.75" customHeight="1" x14ac:dyDescent="0.4">
      <c r="A553" s="3" t="s">
        <v>266</v>
      </c>
      <c r="B553" s="3" t="str">
        <f>"福山市今津町3-9-10"</f>
        <v>福山市今津町3-9-10</v>
      </c>
      <c r="C553" s="4">
        <v>46387</v>
      </c>
    </row>
    <row r="554" spans="1:3" s="1" customFormat="1" ht="18.75" customHeight="1" x14ac:dyDescent="0.4">
      <c r="A554" s="3" t="s">
        <v>180</v>
      </c>
      <c r="B554" s="3" t="str">
        <f>"福山市今津町5-2-2"</f>
        <v>福山市今津町5-2-2</v>
      </c>
      <c r="C554" s="4">
        <v>46387</v>
      </c>
    </row>
    <row r="555" spans="1:3" s="1" customFormat="1" ht="18.75" customHeight="1" x14ac:dyDescent="0.4">
      <c r="A555" s="3" t="s">
        <v>484</v>
      </c>
      <c r="B555" s="3" t="str">
        <f>"福山市三吉町3-3-23"</f>
        <v>福山市三吉町3-3-23</v>
      </c>
      <c r="C555" s="4">
        <v>46387</v>
      </c>
    </row>
    <row r="556" spans="1:3" s="1" customFormat="1" ht="18.75" customHeight="1" x14ac:dyDescent="0.4">
      <c r="A556" s="3" t="s">
        <v>770</v>
      </c>
      <c r="B556" s="3" t="str">
        <f>"福山市三吉町4-11-8"</f>
        <v>福山市三吉町4-11-8</v>
      </c>
      <c r="C556" s="4">
        <v>46387</v>
      </c>
    </row>
    <row r="557" spans="1:3" s="1" customFormat="1" ht="18.75" customHeight="1" x14ac:dyDescent="0.4">
      <c r="A557" s="3" t="s">
        <v>698</v>
      </c>
      <c r="B557" s="3" t="str">
        <f>"福山市三吉町南1-11-15"</f>
        <v>福山市三吉町南1-11-15</v>
      </c>
      <c r="C557" s="4">
        <v>46387</v>
      </c>
    </row>
    <row r="558" spans="1:3" s="1" customFormat="1" ht="18.75" customHeight="1" x14ac:dyDescent="0.4">
      <c r="A558" s="3" t="s">
        <v>617</v>
      </c>
      <c r="B558" s="3" t="str">
        <f>"福山市三之丸町11-11"</f>
        <v>福山市三之丸町11-11</v>
      </c>
      <c r="C558" s="4">
        <v>46387</v>
      </c>
    </row>
    <row r="559" spans="1:3" s="1" customFormat="1" ht="18.75" customHeight="1" x14ac:dyDescent="0.4">
      <c r="A559" s="3" t="s">
        <v>838</v>
      </c>
      <c r="B559" s="3" t="str">
        <f>"福山市山手町2-3-11"</f>
        <v>福山市山手町2-3-11</v>
      </c>
      <c r="C559" s="4">
        <v>46022</v>
      </c>
    </row>
    <row r="560" spans="1:3" s="1" customFormat="1" ht="18.75" customHeight="1" x14ac:dyDescent="0.4">
      <c r="A560" s="3" t="s">
        <v>404</v>
      </c>
      <c r="B560" s="3" t="str">
        <f>"福山市若松町3-20"</f>
        <v>福山市若松町3-20</v>
      </c>
      <c r="C560" s="4">
        <v>46387</v>
      </c>
    </row>
    <row r="561" spans="1:3" s="1" customFormat="1" ht="18.75" customHeight="1" x14ac:dyDescent="0.4">
      <c r="A561" s="3" t="s">
        <v>595</v>
      </c>
      <c r="B561" s="3" t="str">
        <f>"福山市手城町1-3-41"</f>
        <v>福山市手城町1-3-41</v>
      </c>
      <c r="C561" s="4">
        <v>46387</v>
      </c>
    </row>
    <row r="562" spans="1:3" s="1" customFormat="1" ht="18.75" customHeight="1" x14ac:dyDescent="0.4">
      <c r="A562" s="3" t="s">
        <v>553</v>
      </c>
      <c r="B562" s="3" t="str">
        <f>"福山市手城町2-1-20"</f>
        <v>福山市手城町2-1-20</v>
      </c>
      <c r="C562" s="4">
        <v>46387</v>
      </c>
    </row>
    <row r="563" spans="1:3" s="1" customFormat="1" ht="18.75" customHeight="1" x14ac:dyDescent="0.4">
      <c r="A563" s="3" t="s">
        <v>828</v>
      </c>
      <c r="B563" s="3" t="str">
        <f>"福山市住吉町1-26"</f>
        <v>福山市住吉町1-26</v>
      </c>
      <c r="C563" s="4">
        <v>46387</v>
      </c>
    </row>
    <row r="564" spans="1:3" s="1" customFormat="1" ht="18.75" customHeight="1" x14ac:dyDescent="0.4">
      <c r="A564" s="3" t="s">
        <v>699</v>
      </c>
      <c r="B564" s="3" t="str">
        <f>"福山市住吉町4-1"</f>
        <v>福山市住吉町4-1</v>
      </c>
      <c r="C564" s="4">
        <v>46387</v>
      </c>
    </row>
    <row r="565" spans="1:3" s="1" customFormat="1" ht="18.75" customHeight="1" x14ac:dyDescent="0.4">
      <c r="A565" s="3" t="s">
        <v>854</v>
      </c>
      <c r="B565" s="3" t="str">
        <f>"福山市春日町1-20-38"</f>
        <v>福山市春日町1-20-38</v>
      </c>
      <c r="C565" s="4">
        <v>47118</v>
      </c>
    </row>
    <row r="566" spans="1:3" s="1" customFormat="1" ht="18.75" customHeight="1" x14ac:dyDescent="0.4">
      <c r="A566" s="3" t="s">
        <v>582</v>
      </c>
      <c r="B566" s="3" t="str">
        <f>"福山市春日町1-23-25"</f>
        <v>福山市春日町1-23-25</v>
      </c>
      <c r="C566" s="4">
        <v>46387</v>
      </c>
    </row>
    <row r="567" spans="1:3" s="1" customFormat="1" ht="18.75" customHeight="1" x14ac:dyDescent="0.4">
      <c r="A567" s="3" t="s">
        <v>578</v>
      </c>
      <c r="B567" s="3" t="str">
        <f>"福山市春日町1-7-14"</f>
        <v>福山市春日町1-7-14</v>
      </c>
      <c r="C567" s="4">
        <v>46387</v>
      </c>
    </row>
    <row r="568" spans="1:3" s="1" customFormat="1" ht="18.75" customHeight="1" x14ac:dyDescent="0.4">
      <c r="A568" s="3" t="s">
        <v>217</v>
      </c>
      <c r="B568" s="3" t="str">
        <f>"福山市春日町1-7-5"</f>
        <v>福山市春日町1-7-5</v>
      </c>
      <c r="C568" s="4">
        <v>46752</v>
      </c>
    </row>
    <row r="569" spans="1:3" s="1" customFormat="1" ht="18.75" customHeight="1" x14ac:dyDescent="0.4">
      <c r="A569" s="3" t="s">
        <v>641</v>
      </c>
      <c r="B569" s="3" t="str">
        <f>"福山市春日町2-3-29"</f>
        <v>福山市春日町2-3-29</v>
      </c>
      <c r="C569" s="4">
        <v>47118</v>
      </c>
    </row>
    <row r="570" spans="1:3" s="1" customFormat="1" ht="18.75" customHeight="1" x14ac:dyDescent="0.4">
      <c r="A570" s="3" t="s">
        <v>740</v>
      </c>
      <c r="B570" s="3" t="str">
        <f>"福山市春日町3-10-25"</f>
        <v>福山市春日町3-10-25</v>
      </c>
      <c r="C570" s="4">
        <v>46387</v>
      </c>
    </row>
    <row r="571" spans="1:3" s="1" customFormat="1" ht="18.75" customHeight="1" x14ac:dyDescent="0.4">
      <c r="A571" s="3" t="s">
        <v>70</v>
      </c>
      <c r="B571" s="3" t="str">
        <f>"福山市春日町7-1-18"</f>
        <v>福山市春日町7-1-18</v>
      </c>
      <c r="C571" s="4">
        <v>46387</v>
      </c>
    </row>
    <row r="572" spans="1:3" s="1" customFormat="1" ht="18.75" customHeight="1" x14ac:dyDescent="0.4">
      <c r="A572" s="3" t="s">
        <v>731</v>
      </c>
      <c r="B572" s="3" t="str">
        <f>"福山市春日町7-14-26"</f>
        <v>福山市春日町7-14-26</v>
      </c>
      <c r="C572" s="4">
        <v>46387</v>
      </c>
    </row>
    <row r="573" spans="1:3" s="1" customFormat="1" ht="18.75" customHeight="1" x14ac:dyDescent="0.4">
      <c r="A573" s="3" t="s">
        <v>839</v>
      </c>
      <c r="B573" s="3" t="str">
        <f>"福山市曙町1-4-4"</f>
        <v>福山市曙町1-4-4</v>
      </c>
      <c r="C573" s="4">
        <v>46387</v>
      </c>
    </row>
    <row r="574" spans="1:3" s="1" customFormat="1" ht="18.75" customHeight="1" x14ac:dyDescent="0.4">
      <c r="A574" s="3" t="s">
        <v>704</v>
      </c>
      <c r="B574" s="3" t="str">
        <f>"福山市曙町3-19-18"</f>
        <v>福山市曙町3-19-18</v>
      </c>
      <c r="C574" s="4">
        <v>46387</v>
      </c>
    </row>
    <row r="575" spans="1:3" s="1" customFormat="1" ht="18.75" customHeight="1" x14ac:dyDescent="0.4">
      <c r="A575" s="3" t="s">
        <v>843</v>
      </c>
      <c r="B575" s="3" t="str">
        <f>"福山市曙町5-19-23"</f>
        <v>福山市曙町5-19-23</v>
      </c>
      <c r="C575" s="4">
        <v>46752</v>
      </c>
    </row>
    <row r="576" spans="1:3" s="1" customFormat="1" ht="18.75" customHeight="1" x14ac:dyDescent="0.4">
      <c r="A576" s="3" t="s">
        <v>56</v>
      </c>
      <c r="B576" s="3" t="str">
        <f>"福山市曙町5-21-50"</f>
        <v>福山市曙町5-21-50</v>
      </c>
      <c r="C576" s="4">
        <v>46752</v>
      </c>
    </row>
    <row r="577" spans="1:3" s="1" customFormat="1" ht="18.75" customHeight="1" x14ac:dyDescent="0.4">
      <c r="A577" s="3" t="s">
        <v>835</v>
      </c>
      <c r="B577" s="3" t="str">
        <f>"福山市曙町6-7-15"</f>
        <v>福山市曙町6-7-15</v>
      </c>
      <c r="C577" s="4">
        <v>47848</v>
      </c>
    </row>
    <row r="578" spans="1:3" s="1" customFormat="1" ht="18.75" customHeight="1" x14ac:dyDescent="0.4">
      <c r="A578" s="3" t="s">
        <v>687</v>
      </c>
      <c r="B578" s="3" t="str">
        <f>"福山市松永町340-1"</f>
        <v>福山市松永町340-1</v>
      </c>
      <c r="C578" s="4">
        <v>46387</v>
      </c>
    </row>
    <row r="579" spans="1:3" s="1" customFormat="1" ht="18.75" customHeight="1" x14ac:dyDescent="0.4">
      <c r="A579" s="3" t="s">
        <v>451</v>
      </c>
      <c r="B579" s="3" t="s">
        <v>319</v>
      </c>
      <c r="C579" s="4">
        <v>47118</v>
      </c>
    </row>
    <row r="580" spans="1:3" s="1" customFormat="1" ht="18.75" customHeight="1" x14ac:dyDescent="0.4">
      <c r="A580" s="3" t="s">
        <v>807</v>
      </c>
      <c r="B580" s="3" t="str">
        <f>"福山市松永町3-7-39-3"</f>
        <v>福山市松永町3-7-39-3</v>
      </c>
      <c r="C580" s="4">
        <v>46387</v>
      </c>
    </row>
    <row r="581" spans="1:3" s="1" customFormat="1" ht="18.75" customHeight="1" x14ac:dyDescent="0.4">
      <c r="A581" s="3" t="s">
        <v>249</v>
      </c>
      <c r="B581" s="3" t="str">
        <f>"福山市松永町4-12-26"</f>
        <v>福山市松永町4-12-26</v>
      </c>
      <c r="C581" s="4">
        <v>46387</v>
      </c>
    </row>
    <row r="582" spans="1:3" s="1" customFormat="1" ht="18.75" customHeight="1" x14ac:dyDescent="0.4">
      <c r="A582" s="3" t="s">
        <v>775</v>
      </c>
      <c r="B582" s="3" t="str">
        <f>"福山市松永町4-9-17"</f>
        <v>福山市松永町4-9-17</v>
      </c>
      <c r="C582" s="4">
        <v>46387</v>
      </c>
    </row>
    <row r="583" spans="1:3" s="1" customFormat="1" ht="18.75" customHeight="1" x14ac:dyDescent="0.4">
      <c r="A583" s="3" t="s">
        <v>861</v>
      </c>
      <c r="B583" s="3" t="str">
        <f>"福山市松永町5-20-5"</f>
        <v>福山市松永町5-20-5</v>
      </c>
      <c r="C583" s="4">
        <v>47483</v>
      </c>
    </row>
    <row r="584" spans="1:3" s="1" customFormat="1" ht="18.75" customHeight="1" x14ac:dyDescent="0.4">
      <c r="A584" s="3" t="s">
        <v>584</v>
      </c>
      <c r="B584" s="3" t="str">
        <f>"福山市松永町5-23-23"</f>
        <v>福山市松永町5-23-23</v>
      </c>
      <c r="C584" s="4">
        <v>46387</v>
      </c>
    </row>
    <row r="585" spans="1:3" s="1" customFormat="1" ht="18.75" customHeight="1" x14ac:dyDescent="0.4">
      <c r="A585" s="3" t="s">
        <v>434</v>
      </c>
      <c r="B585" s="3" t="str">
        <f>"福山市松浜町1-13-38"</f>
        <v>福山市松浜町1-13-38</v>
      </c>
      <c r="C585" s="4">
        <v>46387</v>
      </c>
    </row>
    <row r="586" spans="1:3" s="1" customFormat="1" ht="18.75" customHeight="1" x14ac:dyDescent="0.4">
      <c r="A586" s="3" t="s">
        <v>718</v>
      </c>
      <c r="B586" s="3" t="str">
        <f>"福山市松浜町1-4-13"</f>
        <v>福山市松浜町1-4-13</v>
      </c>
      <c r="C586" s="4">
        <v>46387</v>
      </c>
    </row>
    <row r="587" spans="1:3" s="1" customFormat="1" ht="18.75" customHeight="1" x14ac:dyDescent="0.4">
      <c r="A587" s="3" t="s">
        <v>748</v>
      </c>
      <c r="B587" s="3" t="str">
        <f>"福山市松浜町4-5-25"</f>
        <v>福山市松浜町4-5-25</v>
      </c>
      <c r="C587" s="4">
        <v>46387</v>
      </c>
    </row>
    <row r="588" spans="1:3" s="1" customFormat="1" ht="18.75" customHeight="1" x14ac:dyDescent="0.4">
      <c r="A588" s="3" t="s">
        <v>1140</v>
      </c>
      <c r="B588" s="3" t="s">
        <v>800</v>
      </c>
      <c r="C588" s="4">
        <v>47118</v>
      </c>
    </row>
    <row r="589" spans="1:3" s="1" customFormat="1" ht="18.75" customHeight="1" x14ac:dyDescent="0.4">
      <c r="A589" s="3" t="s">
        <v>1144</v>
      </c>
      <c r="B589" s="3" t="s">
        <v>1145</v>
      </c>
      <c r="C589" s="4">
        <v>46387</v>
      </c>
    </row>
    <row r="590" spans="1:3" s="1" customFormat="1" ht="18.75" customHeight="1" x14ac:dyDescent="0.4">
      <c r="A590" s="3" t="s">
        <v>1141</v>
      </c>
      <c r="B590" s="3" t="s">
        <v>234</v>
      </c>
      <c r="C590" s="4">
        <v>46387</v>
      </c>
    </row>
    <row r="591" spans="1:3" s="1" customFormat="1" ht="18.75" customHeight="1" x14ac:dyDescent="0.4">
      <c r="A591" s="3" t="s">
        <v>738</v>
      </c>
      <c r="B591" s="3" t="str">
        <f>"福山市沼隈町草深1964-1"</f>
        <v>福山市沼隈町草深1964-1</v>
      </c>
      <c r="C591" s="4">
        <v>46387</v>
      </c>
    </row>
    <row r="592" spans="1:3" s="1" customFormat="1" ht="18.75" customHeight="1" x14ac:dyDescent="0.4">
      <c r="A592" s="3" t="s">
        <v>778</v>
      </c>
      <c r="B592" s="3" t="str">
        <f>"福山市沼隈町草深2031-1"</f>
        <v>福山市沼隈町草深2031-1</v>
      </c>
      <c r="C592" s="4">
        <v>46387</v>
      </c>
    </row>
    <row r="593" spans="1:3" s="1" customFormat="1" ht="18.75" customHeight="1" x14ac:dyDescent="0.4">
      <c r="A593" s="3" t="s">
        <v>500</v>
      </c>
      <c r="B593" s="3" t="str">
        <f>"福山市沼隈町草深428-1"</f>
        <v>福山市沼隈町草深428-1</v>
      </c>
      <c r="C593" s="4">
        <v>46387</v>
      </c>
    </row>
    <row r="594" spans="1:3" s="1" customFormat="1" ht="18.75" customHeight="1" x14ac:dyDescent="0.4">
      <c r="A594" s="3" t="s">
        <v>1142</v>
      </c>
      <c r="B594" s="3" t="str">
        <f>"福山市沼隈町中山南1233-3"</f>
        <v>福山市沼隈町中山南1233-3</v>
      </c>
      <c r="C594" s="4">
        <v>46387</v>
      </c>
    </row>
    <row r="595" spans="1:3" s="1" customFormat="1" ht="18.75" customHeight="1" x14ac:dyDescent="0.4">
      <c r="A595" s="3" t="s">
        <v>798</v>
      </c>
      <c r="B595" s="3" t="s">
        <v>799</v>
      </c>
      <c r="C595" s="4">
        <v>46387</v>
      </c>
    </row>
    <row r="596" spans="1:3" s="1" customFormat="1" ht="18.75" customHeight="1" x14ac:dyDescent="0.4">
      <c r="A596" s="3" t="s">
        <v>974</v>
      </c>
      <c r="B596" s="3" t="str">
        <f>"福山市沼隈町中山南469-3"</f>
        <v>福山市沼隈町中山南469-3</v>
      </c>
      <c r="C596" s="4">
        <v>46387</v>
      </c>
    </row>
    <row r="597" spans="1:3" s="1" customFormat="1" ht="18.75" customHeight="1" x14ac:dyDescent="0.4">
      <c r="A597" s="3" t="s">
        <v>735</v>
      </c>
      <c r="B597" s="3" t="str">
        <f>"福山市新涯町1-5-38"</f>
        <v>福山市新涯町1-5-38</v>
      </c>
      <c r="C597" s="4">
        <v>46387</v>
      </c>
    </row>
    <row r="598" spans="1:3" s="1" customFormat="1" ht="18.75" customHeight="1" x14ac:dyDescent="0.4">
      <c r="A598" s="3" t="s">
        <v>227</v>
      </c>
      <c r="B598" s="3" t="str">
        <f>"福山市新涯町2-5-8"</f>
        <v>福山市新涯町2-5-8</v>
      </c>
      <c r="C598" s="4">
        <v>46387</v>
      </c>
    </row>
    <row r="599" spans="1:3" s="1" customFormat="1" ht="18.75" customHeight="1" x14ac:dyDescent="0.4">
      <c r="A599" s="3" t="s">
        <v>686</v>
      </c>
      <c r="B599" s="3" t="str">
        <f>"福山市新涯町3-1-26"</f>
        <v>福山市新涯町3-1-26</v>
      </c>
      <c r="C599" s="4">
        <v>46387</v>
      </c>
    </row>
    <row r="600" spans="1:3" s="1" customFormat="1" ht="18.75" customHeight="1" x14ac:dyDescent="0.4">
      <c r="A600" s="3" t="s">
        <v>808</v>
      </c>
      <c r="B600" s="3" t="str">
        <f>"福山市新涯町3-19-36"</f>
        <v>福山市新涯町3-19-36</v>
      </c>
      <c r="C600" s="4">
        <v>47848</v>
      </c>
    </row>
    <row r="601" spans="1:3" s="1" customFormat="1" ht="18.75" customHeight="1" x14ac:dyDescent="0.4">
      <c r="A601" s="3" t="s">
        <v>425</v>
      </c>
      <c r="B601" s="3" t="str">
        <f>"福山市新涯町6-11-6"</f>
        <v>福山市新涯町6-11-6</v>
      </c>
      <c r="C601" s="4">
        <v>47848</v>
      </c>
    </row>
    <row r="602" spans="1:3" s="1" customFormat="1" ht="18.75" customHeight="1" x14ac:dyDescent="0.4">
      <c r="A602" s="3" t="s">
        <v>1155</v>
      </c>
      <c r="B602" s="3" t="str">
        <f>"福山市新市町宮内186-5"</f>
        <v>福山市新市町宮内186-5</v>
      </c>
      <c r="C602" s="4">
        <v>47118</v>
      </c>
    </row>
    <row r="603" spans="1:3" s="1" customFormat="1" ht="18.75" customHeight="1" x14ac:dyDescent="0.4">
      <c r="A603" s="3" t="s">
        <v>937</v>
      </c>
      <c r="B603" s="3" t="s">
        <v>191</v>
      </c>
      <c r="C603" s="4">
        <v>46387</v>
      </c>
    </row>
    <row r="604" spans="1:3" s="1" customFormat="1" ht="18.75" customHeight="1" x14ac:dyDescent="0.4">
      <c r="A604" s="3" t="s">
        <v>744</v>
      </c>
      <c r="B604" s="3" t="str">
        <f>"福山市新市町新市388-4"</f>
        <v>福山市新市町新市388-4</v>
      </c>
      <c r="C604" s="4">
        <v>46387</v>
      </c>
    </row>
    <row r="605" spans="1:3" s="1" customFormat="1" ht="18.75" customHeight="1" x14ac:dyDescent="0.4">
      <c r="A605" s="3" t="s">
        <v>863</v>
      </c>
      <c r="B605" s="3" t="str">
        <f>"福山市新市町新市628-2"</f>
        <v>福山市新市町新市628-2</v>
      </c>
      <c r="C605" s="4">
        <v>47483</v>
      </c>
    </row>
    <row r="606" spans="1:3" s="1" customFormat="1" ht="18.75" customHeight="1" x14ac:dyDescent="0.4">
      <c r="A606" s="3" t="s">
        <v>470</v>
      </c>
      <c r="B606" s="3" t="str">
        <f>"福山市新市町新市809-2"</f>
        <v>福山市新市町新市809-2</v>
      </c>
      <c r="C606" s="4">
        <v>46387</v>
      </c>
    </row>
    <row r="607" spans="1:3" s="1" customFormat="1" ht="18.75" customHeight="1" x14ac:dyDescent="0.4">
      <c r="A607" s="3" t="s">
        <v>857</v>
      </c>
      <c r="B607" s="3" t="str">
        <f>"福山市神辺町下御領682-1"</f>
        <v>福山市神辺町下御領682-1</v>
      </c>
      <c r="C607" s="4">
        <v>46387</v>
      </c>
    </row>
    <row r="608" spans="1:3" s="1" customFormat="1" ht="18.75" customHeight="1" x14ac:dyDescent="0.4">
      <c r="A608" s="3" t="s">
        <v>33</v>
      </c>
      <c r="B608" s="3" t="str">
        <f>"福山市神辺町十三軒屋136-3"</f>
        <v>福山市神辺町十三軒屋136-3</v>
      </c>
      <c r="C608" s="4">
        <v>46387</v>
      </c>
    </row>
    <row r="609" spans="1:3" s="1" customFormat="1" ht="18.75" customHeight="1" x14ac:dyDescent="0.4">
      <c r="A609" s="3" t="s">
        <v>832</v>
      </c>
      <c r="B609" s="3" t="str">
        <f>"福山市神辺町新湯野41-5"</f>
        <v>福山市神辺町新湯野41-5</v>
      </c>
      <c r="C609" s="4">
        <v>46752</v>
      </c>
    </row>
    <row r="610" spans="1:3" s="1" customFormat="1" ht="18.75" customHeight="1" x14ac:dyDescent="0.4">
      <c r="A610" s="3" t="s">
        <v>1153</v>
      </c>
      <c r="B610" s="3" t="str">
        <f>"福山市神辺町新湯野41-5"</f>
        <v>福山市神辺町新湯野41-5</v>
      </c>
      <c r="C610" s="4">
        <v>46387</v>
      </c>
    </row>
    <row r="611" spans="1:3" s="1" customFormat="1" ht="18.75" customHeight="1" x14ac:dyDescent="0.4">
      <c r="A611" s="3" t="s">
        <v>840</v>
      </c>
      <c r="B611" s="3" t="str">
        <f>"福山市神辺町新湯野74-18"</f>
        <v>福山市神辺町新湯野74-18</v>
      </c>
      <c r="C611" s="4">
        <v>46387</v>
      </c>
    </row>
    <row r="612" spans="1:3" s="1" customFormat="1" ht="18.75" customHeight="1" x14ac:dyDescent="0.4">
      <c r="A612" s="3" t="s">
        <v>852</v>
      </c>
      <c r="B612" s="3" t="str">
        <f>"福山市神辺町新道上30-1"</f>
        <v>福山市神辺町新道上30-1</v>
      </c>
      <c r="C612" s="4">
        <v>47118</v>
      </c>
    </row>
    <row r="613" spans="1:3" s="1" customFormat="1" ht="18.75" customHeight="1" x14ac:dyDescent="0.4">
      <c r="A613" s="3" t="s">
        <v>741</v>
      </c>
      <c r="B613" s="3" t="str">
        <f>"福山市神辺町新徳田2-309"</f>
        <v>福山市神辺町新徳田2-309</v>
      </c>
      <c r="C613" s="4">
        <v>46387</v>
      </c>
    </row>
    <row r="614" spans="1:3" s="1" customFormat="1" ht="18.75" customHeight="1" x14ac:dyDescent="0.4">
      <c r="A614" s="3" t="s">
        <v>604</v>
      </c>
      <c r="B614" s="3" t="str">
        <f>"福山市神辺町新徳田545-1"</f>
        <v>福山市神辺町新徳田545-1</v>
      </c>
      <c r="C614" s="4">
        <v>46387</v>
      </c>
    </row>
    <row r="615" spans="1:3" s="1" customFormat="1" ht="18.75" customHeight="1" x14ac:dyDescent="0.4">
      <c r="A615" s="3" t="s">
        <v>1146</v>
      </c>
      <c r="B615" s="3" t="str">
        <f>"福山市神辺町川南1044-4"</f>
        <v>福山市神辺町川南1044-4</v>
      </c>
      <c r="C615" s="4">
        <v>46387</v>
      </c>
    </row>
    <row r="616" spans="1:3" s="1" customFormat="1" ht="18.75" customHeight="1" x14ac:dyDescent="0.4">
      <c r="A616" s="3" t="s">
        <v>1152</v>
      </c>
      <c r="B616" s="3" t="str">
        <f>"福山市神辺町川南105-1"</f>
        <v>福山市神辺町川南105-1</v>
      </c>
      <c r="C616" s="4">
        <v>46387</v>
      </c>
    </row>
    <row r="617" spans="1:3" s="1" customFormat="1" ht="18.75" customHeight="1" x14ac:dyDescent="0.4">
      <c r="A617" s="3" t="s">
        <v>294</v>
      </c>
      <c r="B617" s="3" t="s">
        <v>783</v>
      </c>
      <c r="C617" s="4">
        <v>46387</v>
      </c>
    </row>
    <row r="618" spans="1:3" s="1" customFormat="1" ht="18.75" customHeight="1" x14ac:dyDescent="0.4">
      <c r="A618" s="3" t="s">
        <v>12</v>
      </c>
      <c r="B618" s="3" t="str">
        <f>"福山市神辺町川南1373-5"</f>
        <v>福山市神辺町川南1373-5</v>
      </c>
      <c r="C618" s="4">
        <v>46387</v>
      </c>
    </row>
    <row r="619" spans="1:3" s="1" customFormat="1" ht="18.75" customHeight="1" x14ac:dyDescent="0.4">
      <c r="A619" s="3" t="s">
        <v>150</v>
      </c>
      <c r="B619" s="3" t="str">
        <f>"福山市神辺町川南3143-1"</f>
        <v>福山市神辺町川南3143-1</v>
      </c>
      <c r="C619" s="4">
        <v>46752</v>
      </c>
    </row>
    <row r="620" spans="1:3" s="1" customFormat="1" ht="18.75" customHeight="1" x14ac:dyDescent="0.4">
      <c r="A620" s="3" t="s">
        <v>1154</v>
      </c>
      <c r="B620" s="3" t="str">
        <f>"福山市神辺町川南960-3"</f>
        <v>福山市神辺町川南960-3</v>
      </c>
      <c r="C620" s="4">
        <v>46387</v>
      </c>
    </row>
    <row r="621" spans="1:3" s="1" customFormat="1" ht="18.75" customHeight="1" x14ac:dyDescent="0.4">
      <c r="A621" s="3" t="s">
        <v>756</v>
      </c>
      <c r="B621" s="3" t="str">
        <f>"福山市神辺町川北1345-11"</f>
        <v>福山市神辺町川北1345-11</v>
      </c>
      <c r="C621" s="4">
        <v>46387</v>
      </c>
    </row>
    <row r="622" spans="1:3" s="1" customFormat="1" ht="18.75" customHeight="1" x14ac:dyDescent="0.4">
      <c r="A622" s="3" t="s">
        <v>383</v>
      </c>
      <c r="B622" s="3" t="s">
        <v>35</v>
      </c>
      <c r="C622" s="4">
        <v>46387</v>
      </c>
    </row>
    <row r="623" spans="1:3" s="1" customFormat="1" ht="18.75" customHeight="1" x14ac:dyDescent="0.4">
      <c r="A623" s="3" t="s">
        <v>834</v>
      </c>
      <c r="B623" s="3" t="str">
        <f>"福山市神辺町川北324-1"</f>
        <v>福山市神辺町川北324-1</v>
      </c>
      <c r="C623" s="4">
        <v>47848</v>
      </c>
    </row>
    <row r="624" spans="1:3" s="1" customFormat="1" ht="18.75" customHeight="1" x14ac:dyDescent="0.4">
      <c r="A624" s="3" t="s">
        <v>850</v>
      </c>
      <c r="B624" s="3" t="str">
        <f>"福山市神辺町川北895-1"</f>
        <v>福山市神辺町川北895-1</v>
      </c>
      <c r="C624" s="4">
        <v>47118</v>
      </c>
    </row>
    <row r="625" spans="1:3" s="1" customFormat="1" ht="18.75" customHeight="1" x14ac:dyDescent="0.4">
      <c r="A625" s="3" t="s">
        <v>30</v>
      </c>
      <c r="B625" s="3" t="str">
        <f>"福山市神辺町川北954-4"</f>
        <v>福山市神辺町川北954-4</v>
      </c>
      <c r="C625" s="4">
        <v>46387</v>
      </c>
    </row>
    <row r="626" spans="1:3" s="1" customFormat="1" ht="18.75" customHeight="1" x14ac:dyDescent="0.4">
      <c r="A626" s="3" t="s">
        <v>394</v>
      </c>
      <c r="B626" s="3" t="str">
        <f>"福山市神辺町湯野378-13"</f>
        <v>福山市神辺町湯野378-13</v>
      </c>
      <c r="C626" s="4">
        <v>46752</v>
      </c>
    </row>
    <row r="627" spans="1:3" s="1" customFormat="1" ht="18.75" customHeight="1" x14ac:dyDescent="0.4">
      <c r="A627" s="3" t="s">
        <v>1147</v>
      </c>
      <c r="B627" s="3" t="str">
        <f>"福山市神辺町道上1-17"</f>
        <v>福山市神辺町道上1-17</v>
      </c>
      <c r="C627" s="4">
        <v>46387</v>
      </c>
    </row>
    <row r="628" spans="1:3" s="1" customFormat="1" ht="18.75" customHeight="1" x14ac:dyDescent="0.4">
      <c r="A628" s="3" t="s">
        <v>1148</v>
      </c>
      <c r="B628" s="3" t="s">
        <v>1150</v>
      </c>
      <c r="C628" s="4">
        <v>47573</v>
      </c>
    </row>
    <row r="629" spans="1:3" s="1" customFormat="1" ht="18.75" customHeight="1" x14ac:dyDescent="0.4">
      <c r="A629" s="3" t="s">
        <v>612</v>
      </c>
      <c r="B629" s="3" t="str">
        <f>"福山市神辺町平野121-5"</f>
        <v>福山市神辺町平野121-5</v>
      </c>
      <c r="C629" s="4">
        <v>46387</v>
      </c>
    </row>
    <row r="630" spans="1:3" s="1" customFormat="1" ht="18.75" customHeight="1" x14ac:dyDescent="0.4">
      <c r="A630" s="3" t="s">
        <v>856</v>
      </c>
      <c r="B630" s="3" t="str">
        <f>"福山市水呑町1947-2"</f>
        <v>福山市水呑町1947-2</v>
      </c>
      <c r="C630" s="4">
        <v>47118</v>
      </c>
    </row>
    <row r="631" spans="1:3" s="1" customFormat="1" ht="18.75" customHeight="1" x14ac:dyDescent="0.4">
      <c r="A631" s="3" t="s">
        <v>539</v>
      </c>
      <c r="B631" s="3" t="str">
        <f>"福山市水呑町2030-3"</f>
        <v>福山市水呑町2030-3</v>
      </c>
      <c r="C631" s="4">
        <v>46387</v>
      </c>
    </row>
    <row r="632" spans="1:3" s="1" customFormat="1" ht="18.75" customHeight="1" x14ac:dyDescent="0.4">
      <c r="A632" s="3" t="s">
        <v>635</v>
      </c>
      <c r="B632" s="3" t="str">
        <f>"福山市水呑町2329-7"</f>
        <v>福山市水呑町2329-7</v>
      </c>
      <c r="C632" s="4">
        <v>47118</v>
      </c>
    </row>
    <row r="633" spans="1:3" s="1" customFormat="1" ht="18.75" customHeight="1" x14ac:dyDescent="0.4">
      <c r="A633" s="3" t="s">
        <v>618</v>
      </c>
      <c r="B633" s="3" t="s">
        <v>803</v>
      </c>
      <c r="C633" s="4">
        <v>46387</v>
      </c>
    </row>
    <row r="634" spans="1:3" s="1" customFormat="1" ht="18.75" customHeight="1" x14ac:dyDescent="0.4">
      <c r="A634" s="3" t="s">
        <v>746</v>
      </c>
      <c r="B634" s="3" t="s">
        <v>133</v>
      </c>
      <c r="C634" s="4">
        <v>46387</v>
      </c>
    </row>
    <row r="635" spans="1:3" s="1" customFormat="1" ht="18.75" customHeight="1" x14ac:dyDescent="0.4">
      <c r="A635" s="3" t="s">
        <v>99</v>
      </c>
      <c r="B635" s="3" t="str">
        <f>"福山市水呑町7302-2"</f>
        <v>福山市水呑町7302-2</v>
      </c>
      <c r="C635" s="4">
        <v>46387</v>
      </c>
    </row>
    <row r="636" spans="1:3" s="1" customFormat="1" ht="18.75" customHeight="1" x14ac:dyDescent="0.4">
      <c r="A636" s="3" t="s">
        <v>659</v>
      </c>
      <c r="B636" s="3" t="str">
        <f>"福山市水呑町三新田1-538"</f>
        <v>福山市水呑町三新田1-538</v>
      </c>
      <c r="C636" s="4">
        <v>46387</v>
      </c>
    </row>
    <row r="637" spans="1:3" s="1" customFormat="1" ht="18.75" customHeight="1" x14ac:dyDescent="0.4">
      <c r="A637" s="3" t="s">
        <v>795</v>
      </c>
      <c r="B637" s="3" t="str">
        <f>"福山市水呑町三新田2-1"</f>
        <v>福山市水呑町三新田2-1</v>
      </c>
      <c r="C637" s="4">
        <v>46387</v>
      </c>
    </row>
    <row r="638" spans="1:3" s="1" customFormat="1" ht="18.75" customHeight="1" x14ac:dyDescent="0.4">
      <c r="A638" s="3" t="s">
        <v>789</v>
      </c>
      <c r="B638" s="3" t="str">
        <f>"福山市水呑町三新田2-28"</f>
        <v>福山市水呑町三新田2-28</v>
      </c>
      <c r="C638" s="4">
        <v>46387</v>
      </c>
    </row>
    <row r="639" spans="1:3" s="1" customFormat="1" ht="18.75" customHeight="1" x14ac:dyDescent="0.4">
      <c r="A639" s="3" t="s">
        <v>670</v>
      </c>
      <c r="B639" s="3" t="str">
        <f>"福山市瀬戸町山北450-1"</f>
        <v>福山市瀬戸町山北450-1</v>
      </c>
      <c r="C639" s="4">
        <v>46387</v>
      </c>
    </row>
    <row r="640" spans="1:3" s="1" customFormat="1" ht="18.75" customHeight="1" x14ac:dyDescent="0.4">
      <c r="A640" s="3" t="s">
        <v>409</v>
      </c>
      <c r="B640" s="3" t="str">
        <f>"福山市瀬戸町長和185-3"</f>
        <v>福山市瀬戸町長和185-3</v>
      </c>
      <c r="C640" s="4">
        <v>46387</v>
      </c>
    </row>
    <row r="641" spans="1:3" s="1" customFormat="1" ht="18.75" customHeight="1" x14ac:dyDescent="0.4">
      <c r="A641" s="3" t="s">
        <v>640</v>
      </c>
      <c r="B641" s="3" t="str">
        <f>"福山市西桜町1-6-1"</f>
        <v>福山市西桜町1-6-1</v>
      </c>
      <c r="C641" s="4">
        <v>46387</v>
      </c>
    </row>
    <row r="642" spans="1:3" s="1" customFormat="1" ht="18.75" customHeight="1" x14ac:dyDescent="0.4">
      <c r="A642" s="3" t="s">
        <v>849</v>
      </c>
      <c r="B642" s="3" t="str">
        <f>"福山市西新涯町2-10-12"</f>
        <v>福山市西新涯町2-10-12</v>
      </c>
      <c r="C642" s="4">
        <v>47118</v>
      </c>
    </row>
    <row r="643" spans="1:3" s="1" customFormat="1" ht="18.75" customHeight="1" x14ac:dyDescent="0.4">
      <c r="A643" s="3" t="s">
        <v>620</v>
      </c>
      <c r="B643" s="3" t="str">
        <f>"福山市西深津町4-2-50"</f>
        <v>福山市西深津町4-2-50</v>
      </c>
      <c r="C643" s="4">
        <v>46387</v>
      </c>
    </row>
    <row r="644" spans="1:3" s="1" customFormat="1" ht="18.75" customHeight="1" x14ac:dyDescent="0.4">
      <c r="A644" s="3" t="s">
        <v>717</v>
      </c>
      <c r="B644" s="3" t="str">
        <f>"福山市西深津町6-13-5"</f>
        <v>福山市西深津町6-13-5</v>
      </c>
      <c r="C644" s="4">
        <v>46387</v>
      </c>
    </row>
    <row r="645" spans="1:3" s="1" customFormat="1" ht="18.75" customHeight="1" x14ac:dyDescent="0.4">
      <c r="A645" s="3" t="s">
        <v>636</v>
      </c>
      <c r="B645" s="3" t="str">
        <f>"福山市西町1-4-1"</f>
        <v>福山市西町1-4-1</v>
      </c>
      <c r="C645" s="4">
        <v>46387</v>
      </c>
    </row>
    <row r="646" spans="1:3" s="1" customFormat="1" ht="18.75" customHeight="1" x14ac:dyDescent="0.4">
      <c r="A646" s="3" t="s">
        <v>769</v>
      </c>
      <c r="B646" s="3" t="str">
        <f>"福山市西町1-7-9"</f>
        <v>福山市西町1-7-9</v>
      </c>
      <c r="C646" s="4">
        <v>46387</v>
      </c>
    </row>
    <row r="647" spans="1:3" s="1" customFormat="1" ht="18.75" customHeight="1" x14ac:dyDescent="0.4">
      <c r="A647" s="3" t="s">
        <v>116</v>
      </c>
      <c r="B647" s="3" t="str">
        <f>"福山市西町2-11-36"</f>
        <v>福山市西町2-11-36</v>
      </c>
      <c r="C647" s="4">
        <v>46387</v>
      </c>
    </row>
    <row r="648" spans="1:3" s="1" customFormat="1" ht="18.75" customHeight="1" x14ac:dyDescent="0.4">
      <c r="A648" s="3" t="s">
        <v>377</v>
      </c>
      <c r="B648" s="3" t="str">
        <f>"福山市西町2-14-18"</f>
        <v>福山市西町2-14-18</v>
      </c>
      <c r="C648" s="4">
        <v>46387</v>
      </c>
    </row>
    <row r="649" spans="1:3" s="1" customFormat="1" ht="18.75" customHeight="1" x14ac:dyDescent="0.4">
      <c r="A649" s="3" t="s">
        <v>752</v>
      </c>
      <c r="B649" s="3" t="str">
        <f>"福山市西町2-5-6"</f>
        <v>福山市西町2-5-6</v>
      </c>
      <c r="C649" s="4">
        <v>46387</v>
      </c>
    </row>
    <row r="650" spans="1:3" s="1" customFormat="1" ht="18.75" customHeight="1" x14ac:dyDescent="0.4">
      <c r="A650" s="3" t="s">
        <v>786</v>
      </c>
      <c r="B650" s="3" t="str">
        <f>"福山市青葉台1-11-20"</f>
        <v>福山市青葉台1-11-20</v>
      </c>
      <c r="C650" s="4">
        <v>46387</v>
      </c>
    </row>
    <row r="651" spans="1:3" s="1" customFormat="1" ht="18.75" customHeight="1" x14ac:dyDescent="0.4">
      <c r="A651" s="3" t="s">
        <v>113</v>
      </c>
      <c r="B651" s="3" t="s">
        <v>632</v>
      </c>
      <c r="C651" s="4">
        <v>46387</v>
      </c>
    </row>
    <row r="652" spans="1:3" s="1" customFormat="1" ht="18.75" customHeight="1" x14ac:dyDescent="0.4">
      <c r="A652" s="3" t="s">
        <v>513</v>
      </c>
      <c r="B652" s="3" t="s">
        <v>532</v>
      </c>
      <c r="C652" s="4">
        <v>46387</v>
      </c>
    </row>
    <row r="653" spans="1:3" s="1" customFormat="1" ht="18.75" customHeight="1" x14ac:dyDescent="0.4">
      <c r="A653" s="3" t="s">
        <v>745</v>
      </c>
      <c r="B653" s="3" t="str">
        <f>"福山市千田町2-47-6"</f>
        <v>福山市千田町2-47-6</v>
      </c>
      <c r="C653" s="4">
        <v>46387</v>
      </c>
    </row>
    <row r="654" spans="1:3" s="1" customFormat="1" ht="18.75" customHeight="1" x14ac:dyDescent="0.4">
      <c r="A654" s="3" t="s">
        <v>614</v>
      </c>
      <c r="B654" s="3" t="str">
        <f>"福山市川口町1-7-15"</f>
        <v>福山市川口町1-7-15</v>
      </c>
      <c r="C654" s="4">
        <v>46752</v>
      </c>
    </row>
    <row r="655" spans="1:3" s="1" customFormat="1" ht="18.75" customHeight="1" x14ac:dyDescent="0.4">
      <c r="A655" s="3" t="s">
        <v>762</v>
      </c>
      <c r="B655" s="3" t="str">
        <f>"福山市川口町4-12-37"</f>
        <v>福山市川口町4-12-37</v>
      </c>
      <c r="C655" s="4">
        <v>46387</v>
      </c>
    </row>
    <row r="656" spans="1:3" s="1" customFormat="1" ht="18.75" customHeight="1" x14ac:dyDescent="0.4">
      <c r="A656" s="3" t="s">
        <v>759</v>
      </c>
      <c r="B656" s="3" t="str">
        <f>"福山市川口町4-13-10"</f>
        <v>福山市川口町4-13-10</v>
      </c>
      <c r="C656" s="4">
        <v>46387</v>
      </c>
    </row>
    <row r="657" spans="1:3" s="1" customFormat="1" ht="18.75" customHeight="1" x14ac:dyDescent="0.4">
      <c r="A657" s="3" t="s">
        <v>825</v>
      </c>
      <c r="B657" s="3" t="str">
        <f>"福山市川口町4-21-31"</f>
        <v>福山市川口町4-21-31</v>
      </c>
      <c r="C657" s="4">
        <v>46387</v>
      </c>
    </row>
    <row r="658" spans="1:3" s="1" customFormat="1" ht="18.75" customHeight="1" x14ac:dyDescent="0.4">
      <c r="A658" s="3" t="s">
        <v>780</v>
      </c>
      <c r="B658" s="3" t="str">
        <f>"福山市船町3-4"</f>
        <v>福山市船町3-4</v>
      </c>
      <c r="C658" s="4">
        <v>46387</v>
      </c>
    </row>
    <row r="659" spans="1:3" s="1" customFormat="1" ht="18.75" customHeight="1" x14ac:dyDescent="0.4">
      <c r="A659" s="3" t="s">
        <v>638</v>
      </c>
      <c r="B659" s="3" t="str">
        <f>"福山市蔵王町5-23-1"</f>
        <v>福山市蔵王町5-23-1</v>
      </c>
      <c r="C659" s="4">
        <v>46387</v>
      </c>
    </row>
    <row r="660" spans="1:3" s="1" customFormat="1" ht="18.75" customHeight="1" x14ac:dyDescent="0.4">
      <c r="A660" s="3" t="s">
        <v>830</v>
      </c>
      <c r="B660" s="3" t="str">
        <f>"福山市多治米町1-11-23"</f>
        <v>福山市多治米町1-11-23</v>
      </c>
      <c r="C660" s="4">
        <v>47848</v>
      </c>
    </row>
    <row r="661" spans="1:3" s="1" customFormat="1" ht="18.75" customHeight="1" x14ac:dyDescent="0.4">
      <c r="A661" s="3" t="s">
        <v>660</v>
      </c>
      <c r="B661" s="3" t="str">
        <f>"福山市多治米町2-14-12"</f>
        <v>福山市多治米町2-14-12</v>
      </c>
      <c r="C661" s="4">
        <v>46387</v>
      </c>
    </row>
    <row r="662" spans="1:3" s="1" customFormat="1" ht="18.75" customHeight="1" x14ac:dyDescent="0.4">
      <c r="A662" s="3" t="s">
        <v>503</v>
      </c>
      <c r="B662" s="3" t="str">
        <f>"福山市多治米町2-15-16"</f>
        <v>福山市多治米町2-15-16</v>
      </c>
      <c r="C662" s="4">
        <v>46387</v>
      </c>
    </row>
    <row r="663" spans="1:3" s="1" customFormat="1" ht="18.75" customHeight="1" x14ac:dyDescent="0.4">
      <c r="A663" s="3" t="s">
        <v>814</v>
      </c>
      <c r="B663" s="3" t="str">
        <f>"福山市多治米町5-23-29-101"</f>
        <v>福山市多治米町5-23-29-101</v>
      </c>
      <c r="C663" s="4">
        <v>46752</v>
      </c>
    </row>
    <row r="664" spans="1:3" s="1" customFormat="1" ht="18.75" customHeight="1" x14ac:dyDescent="0.4">
      <c r="A664" s="3" t="s">
        <v>574</v>
      </c>
      <c r="B664" s="3" t="str">
        <f>"福山市多治米町5-23-30-202"</f>
        <v>福山市多治米町5-23-30-202</v>
      </c>
      <c r="C664" s="4">
        <v>47483</v>
      </c>
    </row>
    <row r="665" spans="1:3" s="1" customFormat="1" ht="18.75" customHeight="1" x14ac:dyDescent="0.4">
      <c r="A665" s="3" t="s">
        <v>821</v>
      </c>
      <c r="B665" s="3" t="str">
        <f>"福山市多治米町5-23-30-2F"</f>
        <v>福山市多治米町5-23-30-2F</v>
      </c>
      <c r="C665" s="4">
        <v>47118</v>
      </c>
    </row>
    <row r="666" spans="1:3" s="1" customFormat="1" ht="18.75" customHeight="1" x14ac:dyDescent="0.4">
      <c r="A666" s="3" t="s">
        <v>763</v>
      </c>
      <c r="B666" s="3" t="str">
        <f>"福山市多治米町5-28-15"</f>
        <v>福山市多治米町5-28-15</v>
      </c>
      <c r="C666" s="4">
        <v>46387</v>
      </c>
    </row>
    <row r="667" spans="1:3" s="1" customFormat="1" ht="18.75" customHeight="1" x14ac:dyDescent="0.4">
      <c r="A667" s="3" t="s">
        <v>730</v>
      </c>
      <c r="B667" s="3" t="str">
        <f>"福山市大黒町1-8"</f>
        <v>福山市大黒町1-8</v>
      </c>
      <c r="C667" s="4">
        <v>46387</v>
      </c>
    </row>
    <row r="668" spans="1:3" s="1" customFormat="1" ht="18.75" customHeight="1" x14ac:dyDescent="0.4">
      <c r="A668" s="3" t="s">
        <v>597</v>
      </c>
      <c r="B668" s="3" t="str">
        <f>"福山市大黒町2-39"</f>
        <v>福山市大黒町2-39</v>
      </c>
      <c r="C668" s="4">
        <v>46387</v>
      </c>
    </row>
    <row r="669" spans="1:3" s="1" customFormat="1" ht="18.75" customHeight="1" x14ac:dyDescent="0.4">
      <c r="A669" s="3" t="s">
        <v>458</v>
      </c>
      <c r="B669" s="3" t="str">
        <f>"福山市大黒町2-7"</f>
        <v>福山市大黒町2-7</v>
      </c>
      <c r="C669" s="4">
        <v>46387</v>
      </c>
    </row>
    <row r="670" spans="1:3" s="1" customFormat="1" ht="18.75" customHeight="1" x14ac:dyDescent="0.4">
      <c r="A670" s="3" t="s">
        <v>76</v>
      </c>
      <c r="B670" s="3" t="str">
        <f>"福山市大門町1-40-12"</f>
        <v>福山市大門町1-40-12</v>
      </c>
      <c r="C670" s="4">
        <v>46387</v>
      </c>
    </row>
    <row r="671" spans="1:3" s="1" customFormat="1" ht="18.75" customHeight="1" x14ac:dyDescent="0.4">
      <c r="A671" s="3" t="s">
        <v>757</v>
      </c>
      <c r="B671" s="3" t="str">
        <f>"福山市大門町3-19-14"</f>
        <v>福山市大門町3-19-14</v>
      </c>
      <c r="C671" s="4">
        <v>46387</v>
      </c>
    </row>
    <row r="672" spans="1:3" s="1" customFormat="1" ht="18.75" customHeight="1" x14ac:dyDescent="0.4">
      <c r="A672" s="3" t="s">
        <v>793</v>
      </c>
      <c r="B672" s="3" t="str">
        <f>"福山市大門町3-28-43"</f>
        <v>福山市大門町3-28-43</v>
      </c>
      <c r="C672" s="4">
        <v>46387</v>
      </c>
    </row>
    <row r="673" spans="1:3" s="1" customFormat="1" ht="18.75" customHeight="1" x14ac:dyDescent="0.4">
      <c r="A673" s="3" t="s">
        <v>39</v>
      </c>
      <c r="B673" s="3" t="s">
        <v>663</v>
      </c>
      <c r="C673" s="4">
        <v>46387</v>
      </c>
    </row>
    <row r="674" spans="1:3" s="1" customFormat="1" ht="18.75" customHeight="1" x14ac:dyDescent="0.4">
      <c r="A674" s="3" t="s">
        <v>356</v>
      </c>
      <c r="B674" s="3" t="str">
        <f>"福山市津之郷町津之郷484-5"</f>
        <v>福山市津之郷町津之郷484-5</v>
      </c>
      <c r="C674" s="4">
        <v>46387</v>
      </c>
    </row>
    <row r="675" spans="1:3" s="1" customFormat="1" ht="18.75" customHeight="1" x14ac:dyDescent="0.4">
      <c r="A675" s="3" t="s">
        <v>782</v>
      </c>
      <c r="B675" s="3" t="str">
        <f>"福山市東桜町1-1-2F"</f>
        <v>福山市東桜町1-1-2F</v>
      </c>
      <c r="C675" s="4">
        <v>46752</v>
      </c>
    </row>
    <row r="676" spans="1:3" s="1" customFormat="1" ht="18.75" customHeight="1" x14ac:dyDescent="0.4">
      <c r="A676" s="3" t="s">
        <v>815</v>
      </c>
      <c r="B676" s="3" t="str">
        <f>"福山市東桜町1-43-5F"</f>
        <v>福山市東桜町1-43-5F</v>
      </c>
      <c r="C676" s="4">
        <v>46752</v>
      </c>
    </row>
    <row r="677" spans="1:3" s="1" customFormat="1" ht="18.75" customHeight="1" x14ac:dyDescent="0.4">
      <c r="A677" s="3" t="s">
        <v>766</v>
      </c>
      <c r="B677" s="3" t="str">
        <f>"福山市東手城町1-3-11"</f>
        <v>福山市東手城町1-3-11</v>
      </c>
      <c r="C677" s="4">
        <v>46387</v>
      </c>
    </row>
    <row r="678" spans="1:3" s="1" customFormat="1" ht="18.75" customHeight="1" x14ac:dyDescent="0.4">
      <c r="A678" s="3" t="s">
        <v>781</v>
      </c>
      <c r="B678" s="3" t="str">
        <f>"福山市東手城町1-3-11"</f>
        <v>福山市東手城町1-3-11</v>
      </c>
      <c r="C678" s="4">
        <v>46752</v>
      </c>
    </row>
    <row r="679" spans="1:3" s="1" customFormat="1" ht="18.75" customHeight="1" x14ac:dyDescent="0.4">
      <c r="A679" s="3" t="s">
        <v>633</v>
      </c>
      <c r="B679" s="3" t="str">
        <f>"福山市東手城町1-3-11"</f>
        <v>福山市東手城町1-3-11</v>
      </c>
      <c r="C679" s="4">
        <v>47483</v>
      </c>
    </row>
    <row r="680" spans="1:3" s="1" customFormat="1" ht="18.75" customHeight="1" x14ac:dyDescent="0.4">
      <c r="A680" s="3" t="s">
        <v>626</v>
      </c>
      <c r="B680" s="3" t="str">
        <f>"福山市東手城町3-11-16"</f>
        <v>福山市東手城町3-11-16</v>
      </c>
      <c r="C680" s="4">
        <v>46387</v>
      </c>
    </row>
    <row r="681" spans="1:3" s="1" customFormat="1" ht="18.75" customHeight="1" x14ac:dyDescent="0.4">
      <c r="A681" s="3" t="s">
        <v>412</v>
      </c>
      <c r="B681" s="3" t="str">
        <f>"福山市東深津町1-11-10"</f>
        <v>福山市東深津町1-11-10</v>
      </c>
      <c r="C681" s="4">
        <v>47118</v>
      </c>
    </row>
    <row r="682" spans="1:3" s="1" customFormat="1" ht="18.75" customHeight="1" x14ac:dyDescent="0.4">
      <c r="A682" s="3" t="s">
        <v>703</v>
      </c>
      <c r="B682" s="3" t="str">
        <f>"福山市東深津町2-11-26"</f>
        <v>福山市東深津町2-11-26</v>
      </c>
      <c r="C682" s="4">
        <v>46387</v>
      </c>
    </row>
    <row r="683" spans="1:3" s="1" customFormat="1" ht="18.75" customHeight="1" x14ac:dyDescent="0.4">
      <c r="A683" s="3" t="s">
        <v>269</v>
      </c>
      <c r="B683" s="3" t="str">
        <f>"福山市東深津町2-8-30"</f>
        <v>福山市東深津町2-8-30</v>
      </c>
      <c r="C683" s="4">
        <v>46387</v>
      </c>
    </row>
    <row r="684" spans="1:3" s="1" customFormat="1" ht="18.75" customHeight="1" x14ac:dyDescent="0.4">
      <c r="A684" s="3" t="s">
        <v>153</v>
      </c>
      <c r="B684" s="3" t="str">
        <f>"福山市東深津町3-23-46"</f>
        <v>福山市東深津町3-23-46</v>
      </c>
      <c r="C684" s="4">
        <v>46387</v>
      </c>
    </row>
    <row r="685" spans="1:3" s="1" customFormat="1" ht="18.75" customHeight="1" x14ac:dyDescent="0.4">
      <c r="A685" s="3" t="s">
        <v>764</v>
      </c>
      <c r="B685" s="3" t="str">
        <f>"福山市東町1-1-18"</f>
        <v>福山市東町1-1-18</v>
      </c>
      <c r="C685" s="4">
        <v>46387</v>
      </c>
    </row>
    <row r="686" spans="1:3" s="1" customFormat="1" ht="18.75" customHeight="1" x14ac:dyDescent="0.4">
      <c r="A686" s="3" t="s">
        <v>676</v>
      </c>
      <c r="B686" s="3" t="str">
        <f>"福山市東町3-3-3"</f>
        <v>福山市東町3-3-3</v>
      </c>
      <c r="C686" s="4">
        <v>46387</v>
      </c>
    </row>
    <row r="687" spans="1:3" s="1" customFormat="1" ht="18.75" customHeight="1" x14ac:dyDescent="0.4">
      <c r="A687" s="3" t="s">
        <v>747</v>
      </c>
      <c r="B687" s="3" t="str">
        <f>"福山市藤江町1724-1"</f>
        <v>福山市藤江町1724-1</v>
      </c>
      <c r="C687" s="4">
        <v>46387</v>
      </c>
    </row>
    <row r="688" spans="1:3" s="1" customFormat="1" ht="18.75" customHeight="1" x14ac:dyDescent="0.4">
      <c r="A688" s="3" t="s">
        <v>702</v>
      </c>
      <c r="B688" s="3" t="str">
        <f>"福山市道三町1-1"</f>
        <v>福山市道三町1-1</v>
      </c>
      <c r="C688" s="4">
        <v>46387</v>
      </c>
    </row>
    <row r="689" spans="1:3" s="1" customFormat="1" ht="18.75" customHeight="1" x14ac:dyDescent="0.4">
      <c r="A689" s="3" t="s">
        <v>228</v>
      </c>
      <c r="B689" s="3" t="str">
        <f>"福山市道三町5-15"</f>
        <v>福山市道三町5-15</v>
      </c>
      <c r="C689" s="4">
        <v>47118</v>
      </c>
    </row>
    <row r="690" spans="1:3" s="1" customFormat="1" ht="18.75" customHeight="1" x14ac:dyDescent="0.4">
      <c r="A690" s="3" t="s">
        <v>108</v>
      </c>
      <c r="B690" s="3" t="str">
        <f>"福山市奈良津町3-1-1"</f>
        <v>福山市奈良津町3-1-1</v>
      </c>
      <c r="C690" s="4">
        <v>46387</v>
      </c>
    </row>
    <row r="691" spans="1:3" s="1" customFormat="1" ht="18.75" customHeight="1" x14ac:dyDescent="0.4">
      <c r="A691" s="3" t="s">
        <v>693</v>
      </c>
      <c r="B691" s="3" t="str">
        <f>"福山市奈良津町3-1-5"</f>
        <v>福山市奈良津町3-1-5</v>
      </c>
      <c r="C691" s="4">
        <v>46387</v>
      </c>
    </row>
    <row r="692" spans="1:3" s="1" customFormat="1" ht="18.75" customHeight="1" x14ac:dyDescent="0.4">
      <c r="A692" s="3" t="s">
        <v>401</v>
      </c>
      <c r="B692" s="3" t="str">
        <f>"福山市内海町ロ355-1"</f>
        <v>福山市内海町ロ355-1</v>
      </c>
      <c r="C692" s="4">
        <v>46752</v>
      </c>
    </row>
    <row r="693" spans="1:3" s="1" customFormat="1" ht="18.75" customHeight="1" x14ac:dyDescent="0.4">
      <c r="A693" s="3" t="s">
        <v>729</v>
      </c>
      <c r="B693" s="3" t="str">
        <f>"福山市南手城町1-15-3"</f>
        <v>福山市南手城町1-15-3</v>
      </c>
      <c r="C693" s="4">
        <v>46387</v>
      </c>
    </row>
    <row r="694" spans="1:3" s="1" customFormat="1" ht="18.75" customHeight="1" x14ac:dyDescent="0.4">
      <c r="A694" s="3" t="s">
        <v>321</v>
      </c>
      <c r="B694" s="3" t="str">
        <f>"福山市南手城町1-9-25"</f>
        <v>福山市南手城町1-9-25</v>
      </c>
      <c r="C694" s="4">
        <v>46387</v>
      </c>
    </row>
    <row r="695" spans="1:3" s="1" customFormat="1" ht="18.75" customHeight="1" x14ac:dyDescent="0.4">
      <c r="A695" s="3" t="s">
        <v>822</v>
      </c>
      <c r="B695" s="3" t="str">
        <f>"福山市南蔵王町1-10-11"</f>
        <v>福山市南蔵王町1-10-11</v>
      </c>
      <c r="C695" s="4">
        <v>47118</v>
      </c>
    </row>
    <row r="696" spans="1:3" s="1" customFormat="1" ht="18.75" customHeight="1" x14ac:dyDescent="0.4">
      <c r="A696" s="3" t="s">
        <v>436</v>
      </c>
      <c r="B696" s="3" t="str">
        <f>"福山市南蔵王町1-7-14"</f>
        <v>福山市南蔵王町1-7-14</v>
      </c>
      <c r="C696" s="4">
        <v>46387</v>
      </c>
    </row>
    <row r="697" spans="1:3" s="1" customFormat="1" ht="18.75" customHeight="1" x14ac:dyDescent="0.4">
      <c r="A697" s="3" t="s">
        <v>708</v>
      </c>
      <c r="B697" s="3" t="str">
        <f>"福山市南蔵王町2-4-11"</f>
        <v>福山市南蔵王町2-4-11</v>
      </c>
      <c r="C697" s="4">
        <v>46387</v>
      </c>
    </row>
    <row r="698" spans="1:3" s="1" customFormat="1" ht="18.75" customHeight="1" x14ac:dyDescent="0.4">
      <c r="A698" s="3" t="s">
        <v>105</v>
      </c>
      <c r="B698" s="3" t="str">
        <f>"福山市南蔵王町3-17-45"</f>
        <v>福山市南蔵王町3-17-45</v>
      </c>
      <c r="C698" s="4">
        <v>47848</v>
      </c>
    </row>
    <row r="699" spans="1:3" s="1" customFormat="1" ht="18.75" customHeight="1" x14ac:dyDescent="0.4">
      <c r="A699" s="3" t="s">
        <v>827</v>
      </c>
      <c r="B699" s="3" t="str">
        <f>"福山市南蔵王町4-12-24"</f>
        <v>福山市南蔵王町4-12-24</v>
      </c>
      <c r="C699" s="4">
        <v>46387</v>
      </c>
    </row>
    <row r="700" spans="1:3" s="1" customFormat="1" ht="18.75" customHeight="1" x14ac:dyDescent="0.4">
      <c r="A700" s="3" t="s">
        <v>429</v>
      </c>
      <c r="B700" s="3" t="str">
        <f>"福山市南蔵王町4-16-16"</f>
        <v>福山市南蔵王町4-16-16</v>
      </c>
      <c r="C700" s="4">
        <v>46387</v>
      </c>
    </row>
    <row r="701" spans="1:3" s="1" customFormat="1" ht="18.75" customHeight="1" x14ac:dyDescent="0.4">
      <c r="A701" s="3" t="s">
        <v>683</v>
      </c>
      <c r="B701" s="3" t="str">
        <f>"福山市南蔵王町5-14-5"</f>
        <v>福山市南蔵王町5-14-5</v>
      </c>
      <c r="C701" s="4">
        <v>46387</v>
      </c>
    </row>
    <row r="702" spans="1:3" s="1" customFormat="1" ht="18.75" customHeight="1" x14ac:dyDescent="0.4">
      <c r="A702" s="3" t="s">
        <v>812</v>
      </c>
      <c r="B702" s="3" t="str">
        <f>"福山市南蔵王町5-22-33"</f>
        <v>福山市南蔵王町5-22-33</v>
      </c>
      <c r="C702" s="4">
        <v>46752</v>
      </c>
    </row>
    <row r="703" spans="1:3" s="1" customFormat="1" ht="18.75" customHeight="1" x14ac:dyDescent="0.4">
      <c r="A703" s="3" t="s">
        <v>292</v>
      </c>
      <c r="B703" s="3" t="str">
        <f>"福山市南蔵王町5-6-9"</f>
        <v>福山市南蔵王町5-6-9</v>
      </c>
      <c r="C703" s="4">
        <v>47118</v>
      </c>
    </row>
    <row r="704" spans="1:3" s="1" customFormat="1" ht="18.75" customHeight="1" x14ac:dyDescent="0.4">
      <c r="A704" s="3" t="s">
        <v>616</v>
      </c>
      <c r="B704" s="3" t="str">
        <f>"福山市南蔵王町5-9-18"</f>
        <v>福山市南蔵王町5-9-18</v>
      </c>
      <c r="C704" s="4">
        <v>46387</v>
      </c>
    </row>
    <row r="705" spans="1:3" s="1" customFormat="1" ht="18.75" customHeight="1" x14ac:dyDescent="0.4">
      <c r="A705" s="3" t="s">
        <v>20</v>
      </c>
      <c r="B705" s="3" t="str">
        <f>"福山市南蔵王町6-20-13"</f>
        <v>福山市南蔵王町6-20-13</v>
      </c>
      <c r="C705" s="4">
        <v>46752</v>
      </c>
    </row>
    <row r="706" spans="1:3" s="1" customFormat="1" ht="18.75" customHeight="1" x14ac:dyDescent="0.4">
      <c r="A706" s="3" t="s">
        <v>178</v>
      </c>
      <c r="B706" s="3" t="str">
        <f>"福山市南蔵王町6-23-1"</f>
        <v>福山市南蔵王町6-23-1</v>
      </c>
      <c r="C706" s="4">
        <v>47483</v>
      </c>
    </row>
    <row r="707" spans="1:3" s="1" customFormat="1" ht="18.75" customHeight="1" x14ac:dyDescent="0.4">
      <c r="A707" s="3" t="s">
        <v>801</v>
      </c>
      <c r="B707" s="3" t="str">
        <f>"福山市南蔵王町6-27-26-102"</f>
        <v>福山市南蔵王町6-27-26-102</v>
      </c>
      <c r="C707" s="4">
        <v>46387</v>
      </c>
    </row>
    <row r="708" spans="1:3" s="1" customFormat="1" ht="18.75" customHeight="1" x14ac:dyDescent="0.4">
      <c r="A708" s="3" t="s">
        <v>679</v>
      </c>
      <c r="B708" s="3" t="str">
        <f>"福山市南蔵王町6-2-8"</f>
        <v>福山市南蔵王町6-2-8</v>
      </c>
      <c r="C708" s="4">
        <v>46387</v>
      </c>
    </row>
    <row r="709" spans="1:3" s="1" customFormat="1" ht="18.75" customHeight="1" x14ac:dyDescent="0.4">
      <c r="A709" s="3" t="s">
        <v>657</v>
      </c>
      <c r="B709" s="3" t="str">
        <f>"福山市南蔵王町6-32-12"</f>
        <v>福山市南蔵王町6-32-12</v>
      </c>
      <c r="C709" s="4">
        <v>46387</v>
      </c>
    </row>
    <row r="710" spans="1:3" s="1" customFormat="1" ht="18.75" customHeight="1" x14ac:dyDescent="0.4">
      <c r="A710" s="3" t="s">
        <v>792</v>
      </c>
      <c r="B710" s="3" t="str">
        <f>"福山市南蔵王町6-4-13"</f>
        <v>福山市南蔵王町6-4-13</v>
      </c>
      <c r="C710" s="4">
        <v>46387</v>
      </c>
    </row>
    <row r="711" spans="1:3" s="1" customFormat="1" ht="18.75" customHeight="1" x14ac:dyDescent="0.4">
      <c r="A711" s="3" t="s">
        <v>736</v>
      </c>
      <c r="B711" s="3" t="str">
        <f>"福山市南本庄3-1-52"</f>
        <v>福山市南本庄3-1-52</v>
      </c>
      <c r="C711" s="4">
        <v>46387</v>
      </c>
    </row>
    <row r="712" spans="1:3" s="1" customFormat="1" ht="18.75" customHeight="1" x14ac:dyDescent="0.4">
      <c r="A712" s="3" t="s">
        <v>562</v>
      </c>
      <c r="B712" s="3" t="str">
        <f>"福山市宝町5-25"</f>
        <v>福山市宝町5-25</v>
      </c>
      <c r="C712" s="4">
        <v>46387</v>
      </c>
    </row>
    <row r="713" spans="1:3" s="1" customFormat="1" ht="18.75" customHeight="1" x14ac:dyDescent="0.4">
      <c r="A713" s="3" t="s">
        <v>448</v>
      </c>
      <c r="B713" s="3" t="str">
        <f>"福山市宝町5-32"</f>
        <v>福山市宝町5-32</v>
      </c>
      <c r="C713" s="4">
        <v>47118</v>
      </c>
    </row>
    <row r="714" spans="1:3" s="1" customFormat="1" ht="18.75" customHeight="1" x14ac:dyDescent="0.4">
      <c r="A714" s="3" t="s">
        <v>619</v>
      </c>
      <c r="B714" s="3" t="str">
        <f>"福山市北吉津町3-11-16"</f>
        <v>福山市北吉津町3-11-16</v>
      </c>
      <c r="C714" s="4">
        <v>46387</v>
      </c>
    </row>
    <row r="715" spans="1:3" s="1" customFormat="1" ht="18.75" customHeight="1" x14ac:dyDescent="0.4">
      <c r="A715" s="3" t="s">
        <v>661</v>
      </c>
      <c r="B715" s="3" t="str">
        <f>"福山市本郷町1605-2"</f>
        <v>福山市本郷町1605-2</v>
      </c>
      <c r="C715" s="4">
        <v>46387</v>
      </c>
    </row>
    <row r="716" spans="1:3" s="1" customFormat="1" ht="18.75" customHeight="1" x14ac:dyDescent="0.4">
      <c r="A716" s="3" t="s">
        <v>749</v>
      </c>
      <c r="B716" s="3" t="str">
        <f>"福山市本庄町中1-2-13"</f>
        <v>福山市本庄町中1-2-13</v>
      </c>
      <c r="C716" s="4">
        <v>46387</v>
      </c>
    </row>
    <row r="717" spans="1:3" s="1" customFormat="1" ht="18.75" customHeight="1" x14ac:dyDescent="0.4">
      <c r="A717" s="3" t="s">
        <v>761</v>
      </c>
      <c r="B717" s="3" t="str">
        <f>"福山市本町1-1-103"</f>
        <v>福山市本町1-1-103</v>
      </c>
      <c r="C717" s="4">
        <v>46387</v>
      </c>
    </row>
    <row r="718" spans="1:3" s="1" customFormat="1" ht="18.75" customHeight="1" x14ac:dyDescent="0.4">
      <c r="A718" s="3" t="s">
        <v>123</v>
      </c>
      <c r="B718" s="3" t="str">
        <f>"福山市本町5-20"</f>
        <v>福山市本町5-20</v>
      </c>
      <c r="C718" s="4">
        <v>46387</v>
      </c>
    </row>
    <row r="719" spans="1:3" s="1" customFormat="1" ht="18.75" customHeight="1" x14ac:dyDescent="0.4">
      <c r="A719" s="3" t="s">
        <v>653</v>
      </c>
      <c r="B719" s="3" t="str">
        <f>"福山市幕山台1-1-1"</f>
        <v>福山市幕山台1-1-1</v>
      </c>
      <c r="C719" s="4">
        <v>46752</v>
      </c>
    </row>
    <row r="720" spans="1:3" s="1" customFormat="1" ht="18.75" customHeight="1" x14ac:dyDescent="0.4">
      <c r="A720" s="3" t="s">
        <v>696</v>
      </c>
      <c r="B720" s="3" t="str">
        <f>"福山市幕山台1-20-20"</f>
        <v>福山市幕山台1-20-20</v>
      </c>
      <c r="C720" s="4">
        <v>46387</v>
      </c>
    </row>
    <row r="721" spans="1:3" s="1" customFormat="1" ht="18.75" customHeight="1" x14ac:dyDescent="0.4">
      <c r="A721" s="3" t="s">
        <v>263</v>
      </c>
      <c r="B721" s="3" t="str">
        <f>"福山市明神町2-14-3"</f>
        <v>福山市明神町2-14-3</v>
      </c>
      <c r="C721" s="4">
        <v>47118</v>
      </c>
    </row>
    <row r="722" spans="1:3" s="1" customFormat="1" ht="18.75" customHeight="1" x14ac:dyDescent="0.4">
      <c r="A722" s="3" t="s">
        <v>817</v>
      </c>
      <c r="B722" s="3" t="str">
        <f>"福山市明神町2-15-41"</f>
        <v>福山市明神町2-15-41</v>
      </c>
      <c r="C722" s="4">
        <v>46387</v>
      </c>
    </row>
    <row r="723" spans="1:3" s="1" customFormat="1" ht="18.75" customHeight="1" x14ac:dyDescent="0.4">
      <c r="A723" s="3" t="s">
        <v>667</v>
      </c>
      <c r="B723" s="3" t="str">
        <f>"福山市明神町2-5-22"</f>
        <v>福山市明神町2-5-22</v>
      </c>
      <c r="C723" s="4">
        <v>46387</v>
      </c>
    </row>
    <row r="724" spans="1:3" s="1" customFormat="1" ht="18.75" customHeight="1" x14ac:dyDescent="0.4">
      <c r="A724" s="3" t="s">
        <v>690</v>
      </c>
      <c r="B724" s="3" t="str">
        <f>"福山市木之庄町2-7-2"</f>
        <v>福山市木之庄町2-7-2</v>
      </c>
      <c r="C724" s="4">
        <v>46387</v>
      </c>
    </row>
    <row r="725" spans="1:3" s="1" customFormat="1" ht="18.75" customHeight="1" x14ac:dyDescent="0.4">
      <c r="A725" s="3" t="s">
        <v>538</v>
      </c>
      <c r="B725" s="3" t="str">
        <f>"福山市木之庄町2-7-5"</f>
        <v>福山市木之庄町2-7-5</v>
      </c>
      <c r="C725" s="4">
        <v>46387</v>
      </c>
    </row>
    <row r="726" spans="1:3" s="1" customFormat="1" ht="18.75" customHeight="1" x14ac:dyDescent="0.4">
      <c r="A726" s="3" t="s">
        <v>710</v>
      </c>
      <c r="B726" s="3" t="str">
        <f>"福山市野上町1-7-8"</f>
        <v>福山市野上町1-7-8</v>
      </c>
      <c r="C726" s="4">
        <v>46387</v>
      </c>
    </row>
    <row r="727" spans="1:3" s="1" customFormat="1" ht="18.75" customHeight="1" x14ac:dyDescent="0.4">
      <c r="A727" s="3" t="s">
        <v>588</v>
      </c>
      <c r="B727" s="3" t="str">
        <f>"福山市野上町2-10-24"</f>
        <v>福山市野上町2-10-24</v>
      </c>
      <c r="C727" s="4">
        <v>46387</v>
      </c>
    </row>
    <row r="728" spans="1:3" s="1" customFormat="1" ht="18.75" customHeight="1" x14ac:dyDescent="0.4">
      <c r="A728" s="3" t="s">
        <v>431</v>
      </c>
      <c r="B728" s="3" t="str">
        <f>"福山市野上町2-10-29"</f>
        <v>福山市野上町2-10-29</v>
      </c>
      <c r="C728" s="4">
        <v>46387</v>
      </c>
    </row>
    <row r="729" spans="1:3" s="1" customFormat="1" ht="18.75" customHeight="1" x14ac:dyDescent="0.4">
      <c r="A729" s="3" t="s">
        <v>477</v>
      </c>
      <c r="B729" s="3" t="str">
        <f>"福山市野上町2-8-2"</f>
        <v>福山市野上町2-8-2</v>
      </c>
      <c r="C729" s="4">
        <v>46387</v>
      </c>
    </row>
    <row r="730" spans="1:3" s="1" customFormat="1" ht="18.75" customHeight="1" x14ac:dyDescent="0.4">
      <c r="A730" s="3" t="s">
        <v>559</v>
      </c>
      <c r="B730" s="3" t="str">
        <f>"福山市柳津町1-2-26"</f>
        <v>福山市柳津町1-2-26</v>
      </c>
      <c r="C730" s="4">
        <v>46387</v>
      </c>
    </row>
    <row r="731" spans="1:3" s="1" customFormat="1" ht="18.75" customHeight="1" x14ac:dyDescent="0.4">
      <c r="A731" s="3" t="s">
        <v>587</v>
      </c>
      <c r="B731" s="3" t="str">
        <f>"福山市柳津町1-2-30"</f>
        <v>福山市柳津町1-2-30</v>
      </c>
      <c r="C731" s="4">
        <v>46387</v>
      </c>
    </row>
    <row r="732" spans="1:3" s="1" customFormat="1" ht="18.75" customHeight="1" x14ac:dyDescent="0.4">
      <c r="A732" s="3" t="s">
        <v>493</v>
      </c>
      <c r="B732" s="3" t="str">
        <f>"福山市柳津町4-2-5"</f>
        <v>福山市柳津町4-2-5</v>
      </c>
      <c r="C732" s="4">
        <v>46387</v>
      </c>
    </row>
    <row r="733" spans="1:3" s="1" customFormat="1" ht="18.75" customHeight="1" x14ac:dyDescent="0.4">
      <c r="A733" s="3" t="s">
        <v>573</v>
      </c>
      <c r="B733" s="3" t="str">
        <f>"福山市緑町2-39"</f>
        <v>福山市緑町2-39</v>
      </c>
      <c r="C733" s="4">
        <v>46387</v>
      </c>
    </row>
    <row r="734" spans="1:3" s="1" customFormat="1" ht="18.75" customHeight="1" x14ac:dyDescent="0.4">
      <c r="A734" s="3" t="s">
        <v>277</v>
      </c>
      <c r="B734" s="3" t="str">
        <f>"福山市鞆町後地1296-2"</f>
        <v>福山市鞆町後地1296-2</v>
      </c>
      <c r="C734" s="4">
        <v>46387</v>
      </c>
    </row>
    <row r="735" spans="1:3" s="1" customFormat="1" ht="18.75" customHeight="1" x14ac:dyDescent="0.4">
      <c r="A735" s="3" t="s">
        <v>855</v>
      </c>
      <c r="B735" s="3" t="s">
        <v>48</v>
      </c>
      <c r="C735" s="4">
        <v>47118</v>
      </c>
    </row>
    <row r="736" spans="1:3" s="1" customFormat="1" ht="18.75" customHeight="1" x14ac:dyDescent="0.4">
      <c r="A736" s="3" t="s">
        <v>837</v>
      </c>
      <c r="B736" s="3" t="str">
        <f>"福山市鞆町鞆908-3"</f>
        <v>福山市鞆町鞆908-3</v>
      </c>
      <c r="C736" s="4">
        <v>46387</v>
      </c>
    </row>
    <row r="737" spans="1:3" s="1" customFormat="1" ht="18.75" customHeight="1" x14ac:dyDescent="0.4">
      <c r="A737" s="3" t="s">
        <v>1266</v>
      </c>
      <c r="B737" s="3" t="str">
        <f>"府中市鵜飼町37-5"</f>
        <v>府中市鵜飼町37-5</v>
      </c>
      <c r="C737" s="4">
        <v>46387</v>
      </c>
    </row>
    <row r="738" spans="1:3" s="1" customFormat="1" ht="18.75" customHeight="1" x14ac:dyDescent="0.4">
      <c r="A738" s="3" t="s">
        <v>1329</v>
      </c>
      <c r="B738" s="3" t="str">
        <f>"府中市上下町上下845-1"</f>
        <v>府中市上下町上下845-1</v>
      </c>
      <c r="C738" s="4">
        <v>46387</v>
      </c>
    </row>
    <row r="739" spans="1:3" s="1" customFormat="1" ht="18.75" customHeight="1" x14ac:dyDescent="0.4">
      <c r="A739" s="3" t="s">
        <v>1267</v>
      </c>
      <c r="B739" s="3" t="str">
        <f>"府中市中須町1115-1"</f>
        <v>府中市中須町1115-1</v>
      </c>
      <c r="C739" s="4">
        <v>46387</v>
      </c>
    </row>
    <row r="740" spans="1:3" s="1" customFormat="1" ht="18.75" customHeight="1" x14ac:dyDescent="0.4">
      <c r="A740" s="3" t="s">
        <v>1241</v>
      </c>
      <c r="B740" s="3" t="str">
        <f>"府中市中須町1696-2"</f>
        <v>府中市中須町1696-2</v>
      </c>
      <c r="C740" s="4">
        <v>47118</v>
      </c>
    </row>
    <row r="741" spans="1:3" s="1" customFormat="1" ht="18.75" customHeight="1" x14ac:dyDescent="0.4">
      <c r="A741" s="3" t="s">
        <v>879</v>
      </c>
      <c r="B741" s="3" t="str">
        <f>"府中市鵜飼町555-3"</f>
        <v>府中市鵜飼町555-3</v>
      </c>
      <c r="C741" s="4">
        <v>46387</v>
      </c>
    </row>
    <row r="742" spans="1:3" s="1" customFormat="1" ht="18.75" customHeight="1" x14ac:dyDescent="0.4">
      <c r="A742" s="3" t="s">
        <v>867</v>
      </c>
      <c r="B742" s="3" t="str">
        <f>"府中市鵜飼町699-10"</f>
        <v>府中市鵜飼町699-10</v>
      </c>
      <c r="C742" s="4">
        <v>46387</v>
      </c>
    </row>
    <row r="743" spans="1:3" s="1" customFormat="1" ht="18.75" customHeight="1" x14ac:dyDescent="0.4">
      <c r="A743" s="3" t="s">
        <v>872</v>
      </c>
      <c r="B743" s="3" t="str">
        <f>"府中市栗柄町2203-4"</f>
        <v>府中市栗柄町2203-4</v>
      </c>
      <c r="C743" s="4">
        <v>46387</v>
      </c>
    </row>
    <row r="744" spans="1:3" s="1" customFormat="1" ht="18.75" customHeight="1" x14ac:dyDescent="0.4">
      <c r="A744" s="3" t="s">
        <v>868</v>
      </c>
      <c r="B744" s="3" t="str">
        <f>"府中市元町421-7"</f>
        <v>府中市元町421-7</v>
      </c>
      <c r="C744" s="4">
        <v>46752</v>
      </c>
    </row>
    <row r="745" spans="1:3" s="1" customFormat="1" ht="18.75" customHeight="1" x14ac:dyDescent="0.4">
      <c r="A745" s="3" t="s">
        <v>877</v>
      </c>
      <c r="B745" s="3" t="str">
        <f>"府中市元町43-1"</f>
        <v>府中市元町43-1</v>
      </c>
      <c r="C745" s="4">
        <v>46387</v>
      </c>
    </row>
    <row r="746" spans="1:3" s="1" customFormat="1" ht="18.75" customHeight="1" x14ac:dyDescent="0.4">
      <c r="A746" s="3" t="s">
        <v>881</v>
      </c>
      <c r="B746" s="3" t="str">
        <f>"府中市元町576-9"</f>
        <v>府中市元町576-9</v>
      </c>
      <c r="C746" s="4">
        <v>46752</v>
      </c>
    </row>
    <row r="747" spans="1:3" s="1" customFormat="1" ht="18.75" customHeight="1" x14ac:dyDescent="0.4">
      <c r="A747" s="3" t="s">
        <v>876</v>
      </c>
      <c r="B747" s="3" t="str">
        <f>"府中市高木町189-1"</f>
        <v>府中市高木町189-1</v>
      </c>
      <c r="C747" s="4">
        <v>46387</v>
      </c>
    </row>
    <row r="748" spans="1:3" s="1" customFormat="1" ht="18.75" customHeight="1" x14ac:dyDescent="0.4">
      <c r="A748" s="3" t="s">
        <v>870</v>
      </c>
      <c r="B748" s="3" t="s">
        <v>339</v>
      </c>
      <c r="C748" s="4">
        <v>46387</v>
      </c>
    </row>
    <row r="749" spans="1:3" s="1" customFormat="1" ht="18.75" customHeight="1" x14ac:dyDescent="0.4">
      <c r="A749" s="3" t="s">
        <v>455</v>
      </c>
      <c r="B749" s="3" t="str">
        <f>"府中市高木町60-1"</f>
        <v>府中市高木町60-1</v>
      </c>
      <c r="C749" s="4">
        <v>46387</v>
      </c>
    </row>
    <row r="750" spans="1:3" s="1" customFormat="1" ht="18.75" customHeight="1" x14ac:dyDescent="0.4">
      <c r="A750" s="3" t="s">
        <v>883</v>
      </c>
      <c r="B750" s="3" t="str">
        <f>"府中市高木町658-1"</f>
        <v>府中市高木町658-1</v>
      </c>
      <c r="C750" s="4">
        <v>46022</v>
      </c>
    </row>
    <row r="751" spans="1:3" s="1" customFormat="1" ht="18.75" customHeight="1" x14ac:dyDescent="0.4">
      <c r="A751" s="3" t="s">
        <v>330</v>
      </c>
      <c r="B751" s="3" t="s">
        <v>880</v>
      </c>
      <c r="C751" s="4">
        <v>46387</v>
      </c>
    </row>
    <row r="752" spans="1:3" s="1" customFormat="1" ht="18.75" customHeight="1" x14ac:dyDescent="0.4">
      <c r="A752" s="3" t="s">
        <v>864</v>
      </c>
      <c r="B752" s="3" t="str">
        <f>"府中市中須町1392-2"</f>
        <v>府中市中須町1392-2</v>
      </c>
      <c r="C752" s="4">
        <v>46387</v>
      </c>
    </row>
    <row r="753" spans="1:3" s="1" customFormat="1" ht="18.75" customHeight="1" x14ac:dyDescent="0.4">
      <c r="A753" s="3" t="s">
        <v>873</v>
      </c>
      <c r="B753" s="3" t="s">
        <v>874</v>
      </c>
      <c r="C753" s="4">
        <v>46387</v>
      </c>
    </row>
    <row r="754" spans="1:3" s="1" customFormat="1" ht="18.75" customHeight="1" x14ac:dyDescent="0.4">
      <c r="A754" s="3" t="s">
        <v>866</v>
      </c>
      <c r="B754" s="3" t="s">
        <v>202</v>
      </c>
      <c r="C754" s="4">
        <v>46387</v>
      </c>
    </row>
    <row r="755" spans="1:3" s="1" customFormat="1" ht="18.75" customHeight="1" x14ac:dyDescent="0.4">
      <c r="A755" s="3" t="s">
        <v>18</v>
      </c>
      <c r="B755" s="3" t="str">
        <f>"府中市土生町1572-2"</f>
        <v>府中市土生町1572-2</v>
      </c>
      <c r="C755" s="4">
        <v>46387</v>
      </c>
    </row>
    <row r="756" spans="1:3" s="1" customFormat="1" ht="18.75" customHeight="1" x14ac:dyDescent="0.4">
      <c r="A756" s="3" t="s">
        <v>823</v>
      </c>
      <c r="B756" s="3" t="str">
        <f>"府中市府川町100-19"</f>
        <v>府中市府川町100-19</v>
      </c>
      <c r="C756" s="4">
        <v>46387</v>
      </c>
    </row>
    <row r="757" spans="1:3" s="1" customFormat="1" ht="18.75" customHeight="1" x14ac:dyDescent="0.4">
      <c r="A757" s="3" t="s">
        <v>270</v>
      </c>
      <c r="B757" s="3" t="str">
        <f>"府中市府川町108-8"</f>
        <v>府中市府川町108-8</v>
      </c>
      <c r="C757" s="4">
        <v>47483</v>
      </c>
    </row>
    <row r="758" spans="1:3" s="1" customFormat="1" ht="18.75" customHeight="1" x14ac:dyDescent="0.4">
      <c r="A758" s="3" t="s">
        <v>164</v>
      </c>
      <c r="B758" s="3" t="str">
        <f>"府中市府川町140-4"</f>
        <v>府中市府川町140-4</v>
      </c>
      <c r="C758" s="4">
        <v>47848</v>
      </c>
    </row>
    <row r="759" spans="1:3" s="1" customFormat="1" ht="18.75" customHeight="1" x14ac:dyDescent="0.4">
      <c r="A759" s="3" t="s">
        <v>322</v>
      </c>
      <c r="B759" s="3" t="str">
        <f>"府中市府川町171-1"</f>
        <v>府中市府川町171-1</v>
      </c>
      <c r="C759" s="4">
        <v>46387</v>
      </c>
    </row>
    <row r="760" spans="1:3" s="1" customFormat="1" ht="18.75" customHeight="1" x14ac:dyDescent="0.4">
      <c r="A760" s="3" t="s">
        <v>871</v>
      </c>
      <c r="B760" s="3" t="str">
        <f>"府中市府川町368-1"</f>
        <v>府中市府川町368-1</v>
      </c>
      <c r="C760" s="4">
        <v>46387</v>
      </c>
    </row>
    <row r="761" spans="1:3" s="1" customFormat="1" ht="18.75" customHeight="1" x14ac:dyDescent="0.4">
      <c r="A761" s="3" t="s">
        <v>882</v>
      </c>
      <c r="B761" s="3" t="str">
        <f>"府中市府中町838-3"</f>
        <v>府中市府中町838-3</v>
      </c>
      <c r="C761" s="4">
        <v>47118</v>
      </c>
    </row>
    <row r="762" spans="1:3" s="1" customFormat="1" ht="18.75" customHeight="1" x14ac:dyDescent="0.4">
      <c r="A762" s="3" t="s">
        <v>1268</v>
      </c>
      <c r="B762" s="3" t="s">
        <v>892</v>
      </c>
      <c r="C762" s="4">
        <v>46752</v>
      </c>
    </row>
    <row r="763" spans="1:3" s="1" customFormat="1" ht="18.75" customHeight="1" x14ac:dyDescent="0.4">
      <c r="A763" s="3" t="s">
        <v>469</v>
      </c>
      <c r="B763" s="3" t="str">
        <f>"三次市甲奴町本郷645-1"</f>
        <v>三次市甲奴町本郷645-1</v>
      </c>
      <c r="C763" s="4">
        <v>46387</v>
      </c>
    </row>
    <row r="764" spans="1:3" s="1" customFormat="1" ht="18.75" customHeight="1" x14ac:dyDescent="0.4">
      <c r="A764" s="3" t="s">
        <v>205</v>
      </c>
      <c r="B764" s="3" t="str">
        <f>"三次市三次町1388-1"</f>
        <v>三次市三次町1388-1</v>
      </c>
      <c r="C764" s="4">
        <v>46387</v>
      </c>
    </row>
    <row r="765" spans="1:3" s="1" customFormat="1" ht="18.75" customHeight="1" x14ac:dyDescent="0.4">
      <c r="A765" s="3" t="s">
        <v>1270</v>
      </c>
      <c r="B765" s="3" t="str">
        <f>"三次市十日市中2-14-5"</f>
        <v>三次市十日市中2-14-5</v>
      </c>
      <c r="C765" s="4">
        <v>46387</v>
      </c>
    </row>
    <row r="766" spans="1:3" s="1" customFormat="1" ht="18.75" customHeight="1" x14ac:dyDescent="0.4">
      <c r="A766" s="3" t="s">
        <v>1087</v>
      </c>
      <c r="B766" s="3" t="str">
        <f>"三次市十日市東1-7-1"</f>
        <v>三次市十日市東1-7-1</v>
      </c>
      <c r="C766" s="4">
        <v>47848</v>
      </c>
    </row>
    <row r="767" spans="1:3" s="1" customFormat="1" ht="18.75" customHeight="1" x14ac:dyDescent="0.4">
      <c r="A767" s="3" t="s">
        <v>1269</v>
      </c>
      <c r="B767" s="3" t="str">
        <f>"三次市十日市東4-3-6"</f>
        <v>三次市十日市東4-3-6</v>
      </c>
      <c r="C767" s="4">
        <v>46387</v>
      </c>
    </row>
    <row r="768" spans="1:3" s="1" customFormat="1" ht="18.75" customHeight="1" x14ac:dyDescent="0.4">
      <c r="A768" s="3" t="s">
        <v>959</v>
      </c>
      <c r="B768" s="3" t="s">
        <v>905</v>
      </c>
      <c r="C768" s="4">
        <v>46387</v>
      </c>
    </row>
    <row r="769" spans="1:3" s="1" customFormat="1" ht="18.75" customHeight="1" x14ac:dyDescent="0.4">
      <c r="A769" s="3" t="s">
        <v>891</v>
      </c>
      <c r="B769" s="3" t="s">
        <v>892</v>
      </c>
      <c r="C769" s="4">
        <v>46752</v>
      </c>
    </row>
    <row r="770" spans="1:3" s="1" customFormat="1" ht="18.75" customHeight="1" x14ac:dyDescent="0.4">
      <c r="A770" s="3" t="s">
        <v>888</v>
      </c>
      <c r="B770" s="3" t="str">
        <f>"三次市下志和地町710-12"</f>
        <v>三次市下志和地町710-12</v>
      </c>
      <c r="C770" s="4">
        <v>46387</v>
      </c>
    </row>
    <row r="771" spans="1:3" s="1" customFormat="1" ht="18.75" customHeight="1" x14ac:dyDescent="0.4">
      <c r="A771" s="3" t="s">
        <v>797</v>
      </c>
      <c r="B771" s="3" t="s">
        <v>1160</v>
      </c>
      <c r="C771" s="4">
        <v>47118</v>
      </c>
    </row>
    <row r="772" spans="1:3" s="1" customFormat="1" ht="18.75" customHeight="1" x14ac:dyDescent="0.4">
      <c r="A772" s="3" t="s">
        <v>1156</v>
      </c>
      <c r="B772" s="3" t="str">
        <f>"三次市吉舎町敷地1497-1"</f>
        <v>三次市吉舎町敷地1497-1</v>
      </c>
      <c r="C772" s="4">
        <v>46387</v>
      </c>
    </row>
    <row r="773" spans="1:3" s="1" customFormat="1" ht="18.75" customHeight="1" x14ac:dyDescent="0.4">
      <c r="A773" s="3" t="s">
        <v>346</v>
      </c>
      <c r="B773" s="3" t="str">
        <f>"三次市君田町東入君718-6"</f>
        <v>三次市君田町東入君718-6</v>
      </c>
      <c r="C773" s="4">
        <v>46387</v>
      </c>
    </row>
    <row r="774" spans="1:3" s="1" customFormat="1" ht="18.75" customHeight="1" x14ac:dyDescent="0.4">
      <c r="A774" s="3" t="s">
        <v>907</v>
      </c>
      <c r="B774" s="3" t="str">
        <f>"三次市甲奴町本郷645-1"</f>
        <v>三次市甲奴町本郷645-1</v>
      </c>
      <c r="C774" s="4">
        <v>46387</v>
      </c>
    </row>
    <row r="775" spans="1:3" s="1" customFormat="1" ht="18.75" customHeight="1" x14ac:dyDescent="0.4">
      <c r="A775" s="3" t="s">
        <v>908</v>
      </c>
      <c r="B775" s="3" t="s">
        <v>714</v>
      </c>
      <c r="C775" s="4">
        <v>46387</v>
      </c>
    </row>
    <row r="776" spans="1:3" s="1" customFormat="1" ht="18.75" customHeight="1" x14ac:dyDescent="0.4">
      <c r="A776" s="3" t="s">
        <v>900</v>
      </c>
      <c r="B776" s="3" t="str">
        <f>"三次市三次町1308-1"</f>
        <v>三次市三次町1308-1</v>
      </c>
      <c r="C776" s="4">
        <v>46387</v>
      </c>
    </row>
    <row r="777" spans="1:3" s="1" customFormat="1" ht="18.75" customHeight="1" x14ac:dyDescent="0.4">
      <c r="A777" s="3" t="s">
        <v>81</v>
      </c>
      <c r="B777" s="3" t="str">
        <f>"三次市三次町1542-6"</f>
        <v>三次市三次町1542-6</v>
      </c>
      <c r="C777" s="4">
        <v>46387</v>
      </c>
    </row>
    <row r="778" spans="1:3" s="1" customFormat="1" ht="18.75" customHeight="1" x14ac:dyDescent="0.4">
      <c r="A778" s="3" t="s">
        <v>215</v>
      </c>
      <c r="B778" s="3" t="str">
        <f>"三次市三次町1900-1"</f>
        <v>三次市三次町1900-1</v>
      </c>
      <c r="C778" s="4">
        <v>46387</v>
      </c>
    </row>
    <row r="779" spans="1:3" s="1" customFormat="1" ht="18.75" customHeight="1" x14ac:dyDescent="0.4">
      <c r="A779" s="3" t="s">
        <v>200</v>
      </c>
      <c r="B779" s="3" t="str">
        <f>"三次市三若町2655-4"</f>
        <v>三次市三若町2655-4</v>
      </c>
      <c r="C779" s="4">
        <v>46387</v>
      </c>
    </row>
    <row r="780" spans="1:3" s="1" customFormat="1" ht="18.75" customHeight="1" x14ac:dyDescent="0.4">
      <c r="A780" s="3" t="s">
        <v>468</v>
      </c>
      <c r="B780" s="3" t="str">
        <f>"三次市三良坂町三良坂1096-3"</f>
        <v>三次市三良坂町三良坂1096-3</v>
      </c>
      <c r="C780" s="4">
        <v>46387</v>
      </c>
    </row>
    <row r="781" spans="1:3" s="1" customFormat="1" ht="18.75" customHeight="1" x14ac:dyDescent="0.4">
      <c r="A781" s="3" t="s">
        <v>1159</v>
      </c>
      <c r="B781" s="3" t="str">
        <f>"三次市三良坂町三良坂877-5"</f>
        <v>三次市三良坂町三良坂877-5</v>
      </c>
      <c r="C781" s="4">
        <v>46387</v>
      </c>
    </row>
    <row r="782" spans="1:3" s="1" customFormat="1" ht="18.75" customHeight="1" x14ac:dyDescent="0.4">
      <c r="A782" s="3" t="s">
        <v>1157</v>
      </c>
      <c r="B782" s="3" t="str">
        <f>"三次市三和町敷名4830-1"</f>
        <v>三次市三和町敷名4830-1</v>
      </c>
      <c r="C782" s="4">
        <v>46387</v>
      </c>
    </row>
    <row r="783" spans="1:3" s="1" customFormat="1" ht="18.75" customHeight="1" x14ac:dyDescent="0.4">
      <c r="A783" s="3" t="s">
        <v>902</v>
      </c>
      <c r="B783" s="3" t="str">
        <f>"三次市山家町605-20"</f>
        <v>三次市山家町605-20</v>
      </c>
      <c r="C783" s="4">
        <v>46387</v>
      </c>
    </row>
    <row r="784" spans="1:3" s="1" customFormat="1" ht="18.75" customHeight="1" x14ac:dyDescent="0.4">
      <c r="A784" s="3" t="s">
        <v>885</v>
      </c>
      <c r="B784" s="3" t="str">
        <f>"三次市四拾貫町16-2"</f>
        <v>三次市四拾貫町16-2</v>
      </c>
      <c r="C784" s="4">
        <v>46387</v>
      </c>
    </row>
    <row r="785" spans="1:3" s="1" customFormat="1" ht="18.75" customHeight="1" x14ac:dyDescent="0.4">
      <c r="A785" s="3" t="s">
        <v>362</v>
      </c>
      <c r="B785" s="3" t="str">
        <f>"三次市十日市西1-6-9"</f>
        <v>三次市十日市西1-6-9</v>
      </c>
      <c r="C785" s="4">
        <v>47118</v>
      </c>
    </row>
    <row r="786" spans="1:3" s="1" customFormat="1" ht="18.75" customHeight="1" x14ac:dyDescent="0.4">
      <c r="A786" s="3" t="s">
        <v>897</v>
      </c>
      <c r="B786" s="3" t="str">
        <f>"三次市十日市西6-6-10"</f>
        <v>三次市十日市西6-6-10</v>
      </c>
      <c r="C786" s="4">
        <v>46387</v>
      </c>
    </row>
    <row r="787" spans="1:3" s="1" customFormat="1" ht="18.75" customHeight="1" x14ac:dyDescent="0.4">
      <c r="A787" s="3" t="s">
        <v>887</v>
      </c>
      <c r="B787" s="3" t="str">
        <f>"三次市十日市中2-14-33"</f>
        <v>三次市十日市中2-14-33</v>
      </c>
      <c r="C787" s="4">
        <v>46387</v>
      </c>
    </row>
    <row r="788" spans="1:3" s="1" customFormat="1" ht="18.75" customHeight="1" x14ac:dyDescent="0.4">
      <c r="A788" s="3" t="s">
        <v>910</v>
      </c>
      <c r="B788" s="3" t="str">
        <f>"三次市十日市中2-3-23-101"</f>
        <v>三次市十日市中2-3-23-101</v>
      </c>
      <c r="C788" s="4">
        <v>47848</v>
      </c>
    </row>
    <row r="789" spans="1:3" s="1" customFormat="1" ht="18.75" customHeight="1" x14ac:dyDescent="0.4">
      <c r="A789" s="3" t="s">
        <v>890</v>
      </c>
      <c r="B789" s="3" t="str">
        <f>"三次市十日市中4-6-10"</f>
        <v>三次市十日市中4-6-10</v>
      </c>
      <c r="C789" s="4">
        <v>46387</v>
      </c>
    </row>
    <row r="790" spans="1:3" s="1" customFormat="1" ht="18.75" customHeight="1" x14ac:dyDescent="0.4">
      <c r="A790" s="3" t="s">
        <v>914</v>
      </c>
      <c r="B790" s="3" t="str">
        <f>"三次市十日市東1-11-5"</f>
        <v>三次市十日市東1-11-5</v>
      </c>
      <c r="C790" s="4">
        <v>46387</v>
      </c>
    </row>
    <row r="791" spans="1:3" s="1" customFormat="1" ht="18.75" customHeight="1" x14ac:dyDescent="0.4">
      <c r="A791" s="3" t="s">
        <v>262</v>
      </c>
      <c r="B791" s="3" t="str">
        <f>"三次市十日市東1-4-12"</f>
        <v>三次市十日市東1-4-12</v>
      </c>
      <c r="C791" s="4">
        <v>47483</v>
      </c>
    </row>
    <row r="792" spans="1:3" s="1" customFormat="1" ht="18.75" customHeight="1" x14ac:dyDescent="0.4">
      <c r="A792" s="3" t="s">
        <v>899</v>
      </c>
      <c r="B792" s="3" t="str">
        <f>"三次市十日市東2-3-18"</f>
        <v>三次市十日市東2-3-18</v>
      </c>
      <c r="C792" s="4">
        <v>46387</v>
      </c>
    </row>
    <row r="793" spans="1:3" s="1" customFormat="1" ht="18.75" customHeight="1" x14ac:dyDescent="0.4">
      <c r="A793" s="3" t="s">
        <v>915</v>
      </c>
      <c r="B793" s="3" t="str">
        <f>"三次市十日市東3-14-1-3F"</f>
        <v>三次市十日市東3-14-1-3F</v>
      </c>
      <c r="C793" s="4">
        <v>47118</v>
      </c>
    </row>
    <row r="794" spans="1:3" s="1" customFormat="1" ht="18.75" customHeight="1" x14ac:dyDescent="0.4">
      <c r="A794" s="3" t="s">
        <v>893</v>
      </c>
      <c r="B794" s="3" t="str">
        <f>"三次市十日市東3-16-1"</f>
        <v>三次市十日市東3-16-1</v>
      </c>
      <c r="C794" s="4">
        <v>46387</v>
      </c>
    </row>
    <row r="795" spans="1:3" s="1" customFormat="1" ht="18.75" customHeight="1" x14ac:dyDescent="0.4">
      <c r="A795" s="3" t="s">
        <v>3</v>
      </c>
      <c r="B795" s="3" t="str">
        <f>"三次市十日市東3-16-1"</f>
        <v>三次市十日市東3-16-1</v>
      </c>
      <c r="C795" s="4">
        <v>46387</v>
      </c>
    </row>
    <row r="796" spans="1:3" s="1" customFormat="1" ht="18.75" customHeight="1" x14ac:dyDescent="0.4">
      <c r="A796" s="3" t="s">
        <v>904</v>
      </c>
      <c r="B796" s="3" t="str">
        <f>"三次市十日市東4-1-1"</f>
        <v>三次市十日市東4-1-1</v>
      </c>
      <c r="C796" s="4">
        <v>46387</v>
      </c>
    </row>
    <row r="797" spans="1:3" s="1" customFormat="1" ht="18.75" customHeight="1" x14ac:dyDescent="0.4">
      <c r="A797" s="3" t="s">
        <v>692</v>
      </c>
      <c r="B797" s="3" t="str">
        <f>"三次市十日市東4-1-30"</f>
        <v>三次市十日市東4-1-30</v>
      </c>
      <c r="C797" s="4">
        <v>46387</v>
      </c>
    </row>
    <row r="798" spans="1:3" s="1" customFormat="1" ht="18.75" customHeight="1" x14ac:dyDescent="0.4">
      <c r="A798" s="3" t="s">
        <v>845</v>
      </c>
      <c r="B798" s="3" t="str">
        <f>"三次市十日市東4-3-10"</f>
        <v>三次市十日市東4-3-10</v>
      </c>
      <c r="C798" s="4">
        <v>46387</v>
      </c>
    </row>
    <row r="799" spans="1:3" s="1" customFormat="1" ht="18.75" customHeight="1" x14ac:dyDescent="0.4">
      <c r="A799" s="3" t="s">
        <v>895</v>
      </c>
      <c r="B799" s="3" t="str">
        <f>"三次市十日市東4-3-7"</f>
        <v>三次市十日市東4-3-7</v>
      </c>
      <c r="C799" s="4">
        <v>46387</v>
      </c>
    </row>
    <row r="800" spans="1:3" s="1" customFormat="1" ht="18.75" customHeight="1" x14ac:dyDescent="0.4">
      <c r="A800" s="3" t="s">
        <v>909</v>
      </c>
      <c r="B800" s="3" t="str">
        <f>"三次市十日市東4-5-7"</f>
        <v>三次市十日市東4-5-7</v>
      </c>
      <c r="C800" s="4">
        <v>46387</v>
      </c>
    </row>
    <row r="801" spans="1:3" s="1" customFormat="1" ht="18.75" customHeight="1" x14ac:dyDescent="0.4">
      <c r="A801" s="3" t="s">
        <v>913</v>
      </c>
      <c r="B801" s="3" t="str">
        <f>"三次市十日市南5-9-45"</f>
        <v>三次市十日市南5-9-45</v>
      </c>
      <c r="C801" s="4">
        <v>46387</v>
      </c>
    </row>
    <row r="802" spans="1:3" s="1" customFormat="1" ht="18.75" customHeight="1" x14ac:dyDescent="0.4">
      <c r="A802" s="3" t="s">
        <v>430</v>
      </c>
      <c r="B802" s="3" t="s">
        <v>905</v>
      </c>
      <c r="C802" s="4">
        <v>46387</v>
      </c>
    </row>
    <row r="803" spans="1:3" s="1" customFormat="1" ht="18.75" customHeight="1" x14ac:dyDescent="0.4">
      <c r="A803" s="3" t="s">
        <v>903</v>
      </c>
      <c r="B803" s="3" t="str">
        <f>"三次市東酒屋町354-9"</f>
        <v>三次市東酒屋町354-9</v>
      </c>
      <c r="C803" s="4">
        <v>46387</v>
      </c>
    </row>
    <row r="804" spans="1:3" s="1" customFormat="1" ht="18.75" customHeight="1" x14ac:dyDescent="0.4">
      <c r="A804" s="3" t="s">
        <v>894</v>
      </c>
      <c r="B804" s="3" t="str">
        <f>"三次市南畑敷町227-1"</f>
        <v>三次市南畑敷町227-1</v>
      </c>
      <c r="C804" s="4">
        <v>46387</v>
      </c>
    </row>
    <row r="805" spans="1:3" s="1" customFormat="1" ht="18.75" customHeight="1" x14ac:dyDescent="0.4">
      <c r="A805" s="3" t="s">
        <v>911</v>
      </c>
      <c r="B805" s="3" t="str">
        <f>"三次市南畑敷町330-1"</f>
        <v>三次市南畑敷町330-1</v>
      </c>
      <c r="C805" s="4">
        <v>46387</v>
      </c>
    </row>
    <row r="806" spans="1:3" s="1" customFormat="1" ht="18.75" customHeight="1" x14ac:dyDescent="0.4">
      <c r="A806" s="3" t="s">
        <v>196</v>
      </c>
      <c r="B806" s="3" t="str">
        <f>"三次市南畑敷町77-1"</f>
        <v>三次市南畑敷町77-1</v>
      </c>
      <c r="C806" s="4">
        <v>46387</v>
      </c>
    </row>
    <row r="807" spans="1:3" s="1" customFormat="1" ht="18.75" customHeight="1" x14ac:dyDescent="0.4">
      <c r="A807" s="3" t="s">
        <v>528</v>
      </c>
      <c r="B807" s="3" t="s">
        <v>624</v>
      </c>
      <c r="C807" s="4">
        <v>46387</v>
      </c>
    </row>
    <row r="808" spans="1:3" s="1" customFormat="1" ht="18.75" customHeight="1" x14ac:dyDescent="0.4">
      <c r="A808" s="3" t="s">
        <v>1187</v>
      </c>
      <c r="B808" s="3" t="s">
        <v>345</v>
      </c>
      <c r="C808" s="4">
        <v>46387</v>
      </c>
    </row>
    <row r="809" spans="1:3" s="1" customFormat="1" ht="18.75" customHeight="1" x14ac:dyDescent="0.4">
      <c r="A809" s="3" t="s">
        <v>512</v>
      </c>
      <c r="B809" s="3" t="str">
        <f>"庄原市中本町1-4-1"</f>
        <v>庄原市中本町1-4-1</v>
      </c>
      <c r="C809" s="4">
        <v>46387</v>
      </c>
    </row>
    <row r="810" spans="1:3" s="1" customFormat="1" ht="18.75" customHeight="1" x14ac:dyDescent="0.4">
      <c r="A810" s="3" t="s">
        <v>47</v>
      </c>
      <c r="B810" s="3" t="str">
        <f>"庄原市中本町2-2-12"</f>
        <v>庄原市中本町2-2-12</v>
      </c>
      <c r="C810" s="4">
        <v>46387</v>
      </c>
    </row>
    <row r="811" spans="1:3" s="1" customFormat="1" ht="18.75" customHeight="1" x14ac:dyDescent="0.4">
      <c r="A811" s="3" t="s">
        <v>415</v>
      </c>
      <c r="B811" s="3" t="str">
        <f>"庄原市東城町小奴可2651-1"</f>
        <v>庄原市東城町小奴可2651-1</v>
      </c>
      <c r="C811" s="4">
        <v>46387</v>
      </c>
    </row>
    <row r="812" spans="1:3" s="1" customFormat="1" ht="18.75" customHeight="1" x14ac:dyDescent="0.4">
      <c r="A812" s="3" t="s">
        <v>1330</v>
      </c>
      <c r="B812" s="3" t="s">
        <v>1052</v>
      </c>
      <c r="C812" s="4">
        <v>46387</v>
      </c>
    </row>
    <row r="813" spans="1:3" s="1" customFormat="1" ht="18.75" customHeight="1" x14ac:dyDescent="0.4">
      <c r="A813" s="3" t="s">
        <v>809</v>
      </c>
      <c r="B813" s="3" t="s">
        <v>1331</v>
      </c>
      <c r="C813" s="4">
        <v>46387</v>
      </c>
    </row>
    <row r="814" spans="1:3" s="1" customFormat="1" ht="18.75" customHeight="1" x14ac:dyDescent="0.4">
      <c r="A814" s="3" t="s">
        <v>1272</v>
      </c>
      <c r="B814" s="3" t="str">
        <f>"庄原市東城町東城75-3"</f>
        <v>庄原市東城町東城75-3</v>
      </c>
      <c r="C814" s="4">
        <v>46387</v>
      </c>
    </row>
    <row r="815" spans="1:3" s="1" customFormat="1" ht="18.75" customHeight="1" x14ac:dyDescent="0.4">
      <c r="A815" s="3" t="s">
        <v>1271</v>
      </c>
      <c r="B815" s="3" t="str">
        <f>"庄原市板橋町160-1"</f>
        <v>庄原市板橋町160-1</v>
      </c>
      <c r="C815" s="4">
        <v>47483</v>
      </c>
    </row>
    <row r="816" spans="1:3" s="1" customFormat="1" ht="18.75" customHeight="1" x14ac:dyDescent="0.4">
      <c r="A816" s="3" t="s">
        <v>355</v>
      </c>
      <c r="B816" s="3" t="str">
        <f>"庄原市口和町永田402-4"</f>
        <v>庄原市口和町永田402-4</v>
      </c>
      <c r="C816" s="4">
        <v>46387</v>
      </c>
    </row>
    <row r="817" spans="1:3" s="1" customFormat="1" ht="18.75" customHeight="1" x14ac:dyDescent="0.4">
      <c r="A817" s="3" t="s">
        <v>920</v>
      </c>
      <c r="B817" s="3" t="str">
        <f>"庄原市高野町新市1150-1"</f>
        <v>庄原市高野町新市1150-1</v>
      </c>
      <c r="C817" s="4">
        <v>46387</v>
      </c>
    </row>
    <row r="818" spans="1:3" s="1" customFormat="1" ht="18.75" customHeight="1" x14ac:dyDescent="0.4">
      <c r="A818" s="3" t="s">
        <v>923</v>
      </c>
      <c r="B818" s="3" t="s">
        <v>924</v>
      </c>
      <c r="C818" s="4">
        <v>46387</v>
      </c>
    </row>
    <row r="819" spans="1:3" s="1" customFormat="1" ht="18.75" customHeight="1" x14ac:dyDescent="0.4">
      <c r="A819" s="3" t="s">
        <v>566</v>
      </c>
      <c r="B819" s="3" t="s">
        <v>624</v>
      </c>
      <c r="C819" s="4">
        <v>46387</v>
      </c>
    </row>
    <row r="820" spans="1:3" s="1" customFormat="1" ht="18.75" customHeight="1" x14ac:dyDescent="0.4">
      <c r="A820" s="3" t="s">
        <v>148</v>
      </c>
      <c r="B820" s="3" t="str">
        <f>"庄原市西本町2-10-6"</f>
        <v>庄原市西本町2-10-6</v>
      </c>
      <c r="C820" s="4">
        <v>47118</v>
      </c>
    </row>
    <row r="821" spans="1:3" s="1" customFormat="1" ht="18.75" customHeight="1" x14ac:dyDescent="0.4">
      <c r="A821" s="3" t="s">
        <v>925</v>
      </c>
      <c r="B821" s="3" t="str">
        <f>"庄原市西本町2-12-9"</f>
        <v>庄原市西本町2-12-9</v>
      </c>
      <c r="C821" s="4">
        <v>47483</v>
      </c>
    </row>
    <row r="822" spans="1:3" s="1" customFormat="1" ht="18.75" customHeight="1" x14ac:dyDescent="0.4">
      <c r="A822" s="3" t="s">
        <v>918</v>
      </c>
      <c r="B822" s="3" t="str">
        <f>"庄原市西本町2-15-31"</f>
        <v>庄原市西本町2-15-31</v>
      </c>
      <c r="C822" s="4">
        <v>46387</v>
      </c>
    </row>
    <row r="823" spans="1:3" s="1" customFormat="1" ht="18.75" customHeight="1" x14ac:dyDescent="0.4">
      <c r="A823" s="3" t="s">
        <v>231</v>
      </c>
      <c r="B823" s="3" t="str">
        <f>"庄原市西本町2-7-10"</f>
        <v>庄原市西本町2-7-10</v>
      </c>
      <c r="C823" s="4">
        <v>46387</v>
      </c>
    </row>
    <row r="824" spans="1:3" s="1" customFormat="1" ht="18.75" customHeight="1" x14ac:dyDescent="0.4">
      <c r="A824" s="3" t="s">
        <v>393</v>
      </c>
      <c r="B824" s="3" t="str">
        <f>"庄原市川北町158-2"</f>
        <v>庄原市川北町158-2</v>
      </c>
      <c r="C824" s="4">
        <v>46387</v>
      </c>
    </row>
    <row r="825" spans="1:3" s="1" customFormat="1" ht="18.75" customHeight="1" x14ac:dyDescent="0.4">
      <c r="A825" s="3" t="s">
        <v>672</v>
      </c>
      <c r="B825" s="3" t="str">
        <f>"庄原市川北町久井田890-1"</f>
        <v>庄原市川北町久井田890-1</v>
      </c>
      <c r="C825" s="4">
        <v>46387</v>
      </c>
    </row>
    <row r="826" spans="1:3" s="1" customFormat="1" ht="18.75" customHeight="1" x14ac:dyDescent="0.4">
      <c r="A826" s="3" t="s">
        <v>135</v>
      </c>
      <c r="B826" s="3" t="s">
        <v>345</v>
      </c>
      <c r="C826" s="4">
        <v>46387</v>
      </c>
    </row>
    <row r="827" spans="1:3" s="1" customFormat="1" ht="18.75" customHeight="1" x14ac:dyDescent="0.4">
      <c r="A827" s="3" t="s">
        <v>491</v>
      </c>
      <c r="B827" s="3" t="str">
        <f>"庄原市中本町1-7-5"</f>
        <v>庄原市中本町1-7-5</v>
      </c>
      <c r="C827" s="4">
        <v>47848</v>
      </c>
    </row>
    <row r="828" spans="1:3" s="1" customFormat="1" ht="18.75" customHeight="1" x14ac:dyDescent="0.4">
      <c r="A828" s="3" t="s">
        <v>1164</v>
      </c>
      <c r="B828" s="3" t="str">
        <f>"庄原市東城町川西493-1"</f>
        <v>庄原市東城町川西493-1</v>
      </c>
      <c r="C828" s="4">
        <v>46387</v>
      </c>
    </row>
    <row r="829" spans="1:3" s="1" customFormat="1" ht="18.75" customHeight="1" x14ac:dyDescent="0.4">
      <c r="A829" s="3" t="s">
        <v>1163</v>
      </c>
      <c r="B829" s="3" t="str">
        <f>"庄原市東城町川東1463-1"</f>
        <v>庄原市東城町川東1463-1</v>
      </c>
      <c r="C829" s="4">
        <v>46387</v>
      </c>
    </row>
    <row r="830" spans="1:3" s="1" customFormat="1" ht="18.75" customHeight="1" x14ac:dyDescent="0.4">
      <c r="A830" s="3" t="s">
        <v>1161</v>
      </c>
      <c r="B830" s="3" t="str">
        <f>"庄原市東城町川東163-7"</f>
        <v>庄原市東城町川東163-7</v>
      </c>
      <c r="C830" s="4">
        <v>46387</v>
      </c>
    </row>
    <row r="831" spans="1:3" s="1" customFormat="1" ht="18.75" customHeight="1" x14ac:dyDescent="0.4">
      <c r="A831" s="3" t="s">
        <v>1165</v>
      </c>
      <c r="B831" s="3" t="str">
        <f>"庄原市東城町東城133-1"</f>
        <v>庄原市東城町東城133-1</v>
      </c>
      <c r="C831" s="4">
        <v>46387</v>
      </c>
    </row>
    <row r="832" spans="1:3" s="1" customFormat="1" ht="18.75" customHeight="1" x14ac:dyDescent="0.4">
      <c r="A832" s="3" t="s">
        <v>307</v>
      </c>
      <c r="B832" s="3" t="str">
        <f>"庄原市東城町東城375-5"</f>
        <v>庄原市東城町東城375-5</v>
      </c>
      <c r="C832" s="4">
        <v>47483</v>
      </c>
    </row>
    <row r="833" spans="1:3" s="1" customFormat="1" ht="18.75" customHeight="1" x14ac:dyDescent="0.4">
      <c r="A833" s="3" t="s">
        <v>811</v>
      </c>
      <c r="B833" s="3" t="str">
        <f>"庄原市東本町1-1-12"</f>
        <v>庄原市東本町1-1-12</v>
      </c>
      <c r="C833" s="4">
        <v>47483</v>
      </c>
    </row>
    <row r="834" spans="1:3" s="1" customFormat="1" ht="18.75" customHeight="1" x14ac:dyDescent="0.4">
      <c r="A834" s="3" t="s">
        <v>388</v>
      </c>
      <c r="B834" s="3" t="str">
        <f>"庄原市板橋町164-4"</f>
        <v>庄原市板橋町164-4</v>
      </c>
      <c r="C834" s="4">
        <v>46387</v>
      </c>
    </row>
    <row r="835" spans="1:3" s="1" customFormat="1" ht="18.75" customHeight="1" x14ac:dyDescent="0.4">
      <c r="A835" s="3" t="s">
        <v>658</v>
      </c>
      <c r="B835" s="3" t="str">
        <f>"庄原市板橋町165-6"</f>
        <v>庄原市板橋町165-6</v>
      </c>
      <c r="C835" s="4">
        <v>46387</v>
      </c>
    </row>
    <row r="836" spans="1:3" s="1" customFormat="1" ht="18.75" customHeight="1" x14ac:dyDescent="0.4">
      <c r="A836" s="3" t="s">
        <v>681</v>
      </c>
      <c r="B836" s="3" t="str">
        <f>"庄原市板橋町192-1"</f>
        <v>庄原市板橋町192-1</v>
      </c>
      <c r="C836" s="4">
        <v>47118</v>
      </c>
    </row>
    <row r="837" spans="1:3" s="1" customFormat="1" ht="18.75" customHeight="1" x14ac:dyDescent="0.4">
      <c r="A837" s="3" t="s">
        <v>1273</v>
      </c>
      <c r="B837" s="3" t="str">
        <f>"大竹市玖波1-5-2"</f>
        <v>大竹市玖波1-5-2</v>
      </c>
      <c r="C837" s="4">
        <v>47483</v>
      </c>
    </row>
    <row r="838" spans="1:3" s="1" customFormat="1" ht="18.75" customHeight="1" x14ac:dyDescent="0.4">
      <c r="A838" s="3" t="s">
        <v>1334</v>
      </c>
      <c r="B838" s="3" t="str">
        <f>"大竹市玖波4-1-1"</f>
        <v>大竹市玖波4-1-1</v>
      </c>
      <c r="C838" s="4">
        <v>46387</v>
      </c>
    </row>
    <row r="839" spans="1:3" s="1" customFormat="1" ht="18.75" customHeight="1" x14ac:dyDescent="0.4">
      <c r="A839" s="3" t="s">
        <v>1274</v>
      </c>
      <c r="B839" s="3" t="str">
        <f>"大竹市玖波5-2-1"</f>
        <v>大竹市玖波5-2-1</v>
      </c>
      <c r="C839" s="4">
        <v>46387</v>
      </c>
    </row>
    <row r="840" spans="1:3" s="1" customFormat="1" ht="18.75" customHeight="1" x14ac:dyDescent="0.4">
      <c r="A840" s="3" t="s">
        <v>1275</v>
      </c>
      <c r="B840" s="3" t="str">
        <f>"大竹市新町1-12-13"</f>
        <v>大竹市新町1-12-13</v>
      </c>
      <c r="C840" s="4">
        <v>46387</v>
      </c>
    </row>
    <row r="841" spans="1:3" s="1" customFormat="1" ht="18.75" customHeight="1" x14ac:dyDescent="0.4">
      <c r="A841" s="3" t="s">
        <v>711</v>
      </c>
      <c r="B841" s="3" t="str">
        <f>"大竹市晴海1-6-10-2F"</f>
        <v>大竹市晴海1-6-10-2F</v>
      </c>
      <c r="C841" s="4">
        <v>46387</v>
      </c>
    </row>
    <row r="842" spans="1:3" s="1" customFormat="1" ht="18.75" customHeight="1" x14ac:dyDescent="0.4">
      <c r="A842" s="3" t="s">
        <v>176</v>
      </c>
      <c r="B842" s="3" t="str">
        <f>"大竹市油見3-4-3"</f>
        <v>大竹市油見3-4-3</v>
      </c>
      <c r="C842" s="4">
        <v>46387</v>
      </c>
    </row>
    <row r="843" spans="1:3" s="1" customFormat="1" ht="18.75" customHeight="1" x14ac:dyDescent="0.4">
      <c r="A843" s="3" t="s">
        <v>1092</v>
      </c>
      <c r="B843" s="3" t="str">
        <f>"大竹市玖波4-1-1"</f>
        <v>大竹市玖波4-1-1</v>
      </c>
      <c r="C843" s="4">
        <v>46387</v>
      </c>
    </row>
    <row r="844" spans="1:3" s="1" customFormat="1" ht="18.75" customHeight="1" x14ac:dyDescent="0.4">
      <c r="A844" s="3" t="s">
        <v>179</v>
      </c>
      <c r="B844" s="3" t="str">
        <f>"大竹市玖波5-2-1"</f>
        <v>大竹市玖波5-2-1</v>
      </c>
      <c r="C844" s="4">
        <v>46387</v>
      </c>
    </row>
    <row r="845" spans="1:3" s="1" customFormat="1" ht="18.75" customHeight="1" x14ac:dyDescent="0.4">
      <c r="A845" s="3" t="s">
        <v>928</v>
      </c>
      <c r="B845" s="3" t="s">
        <v>929</v>
      </c>
      <c r="C845" s="4">
        <v>46752</v>
      </c>
    </row>
    <row r="846" spans="1:3" s="1" customFormat="1" ht="18.75" customHeight="1" x14ac:dyDescent="0.4">
      <c r="A846" s="3" t="s">
        <v>806</v>
      </c>
      <c r="B846" s="3" t="str">
        <f>"大竹市元町1-1-5"</f>
        <v>大竹市元町1-1-5</v>
      </c>
      <c r="C846" s="4">
        <v>46387</v>
      </c>
    </row>
    <row r="847" spans="1:3" s="1" customFormat="1" ht="18.75" customHeight="1" x14ac:dyDescent="0.4">
      <c r="A847" s="3" t="s">
        <v>42</v>
      </c>
      <c r="B847" s="3" t="str">
        <f>"大竹市御幸町20-1"</f>
        <v>大竹市御幸町20-1</v>
      </c>
      <c r="C847" s="4">
        <v>46387</v>
      </c>
    </row>
    <row r="848" spans="1:3" s="1" customFormat="1" ht="18.75" customHeight="1" x14ac:dyDescent="0.4">
      <c r="A848" s="3" t="s">
        <v>755</v>
      </c>
      <c r="B848" s="3" t="str">
        <f>"大竹市新町1-2-7-101"</f>
        <v>大竹市新町1-2-7-101</v>
      </c>
      <c r="C848" s="4">
        <v>46752</v>
      </c>
    </row>
    <row r="849" spans="1:3" s="1" customFormat="1" ht="18.75" customHeight="1" x14ac:dyDescent="0.4">
      <c r="A849" s="3" t="s">
        <v>926</v>
      </c>
      <c r="B849" s="3" t="str">
        <f>"大竹市新町2-7-1"</f>
        <v>大竹市新町2-7-1</v>
      </c>
      <c r="C849" s="4">
        <v>46387</v>
      </c>
    </row>
    <row r="850" spans="1:3" s="1" customFormat="1" ht="18.75" customHeight="1" x14ac:dyDescent="0.4">
      <c r="A850" s="3" t="s">
        <v>842</v>
      </c>
      <c r="B850" s="3" t="str">
        <f>"大竹市晴海1-4-13"</f>
        <v>大竹市晴海1-4-13</v>
      </c>
      <c r="C850" s="4">
        <v>46387</v>
      </c>
    </row>
    <row r="851" spans="1:3" s="1" customFormat="1" ht="18.75" customHeight="1" x14ac:dyDescent="0.4">
      <c r="A851" s="3" t="s">
        <v>930</v>
      </c>
      <c r="B851" s="3" t="str">
        <f>"大竹市西栄1-12-1"</f>
        <v>大竹市西栄1-12-1</v>
      </c>
      <c r="C851" s="4">
        <v>46387</v>
      </c>
    </row>
    <row r="852" spans="1:3" s="1" customFormat="1" ht="18.75" customHeight="1" x14ac:dyDescent="0.4">
      <c r="A852" s="3" t="s">
        <v>722</v>
      </c>
      <c r="B852" s="3" t="str">
        <f>"大竹市西栄2-15-17"</f>
        <v>大竹市西栄2-15-17</v>
      </c>
      <c r="C852" s="4">
        <v>46387</v>
      </c>
    </row>
    <row r="853" spans="1:3" s="1" customFormat="1" ht="18.75" customHeight="1" x14ac:dyDescent="0.4">
      <c r="A853" s="3" t="s">
        <v>705</v>
      </c>
      <c r="B853" s="3" t="str">
        <f>"大竹市南栄1-6-15"</f>
        <v>大竹市南栄1-6-15</v>
      </c>
      <c r="C853" s="4">
        <v>46387</v>
      </c>
    </row>
    <row r="854" spans="1:3" s="1" customFormat="1" ht="18.75" customHeight="1" x14ac:dyDescent="0.4">
      <c r="A854" s="3" t="s">
        <v>306</v>
      </c>
      <c r="B854" s="3" t="str">
        <f>"大竹市本町1-1-18"</f>
        <v>大竹市本町1-1-18</v>
      </c>
      <c r="C854" s="4">
        <v>46022</v>
      </c>
    </row>
    <row r="855" spans="1:3" s="1" customFormat="1" ht="18.75" customHeight="1" x14ac:dyDescent="0.4">
      <c r="A855" s="3" t="s">
        <v>36</v>
      </c>
      <c r="B855" s="3" t="str">
        <f>"大竹市本町2-15-17"</f>
        <v>大竹市本町2-15-17</v>
      </c>
      <c r="C855" s="4">
        <v>46752</v>
      </c>
    </row>
    <row r="856" spans="1:3" s="1" customFormat="1" ht="18.75" customHeight="1" x14ac:dyDescent="0.4">
      <c r="A856" s="3" t="s">
        <v>927</v>
      </c>
      <c r="B856" s="3" t="str">
        <f>"大竹市本町2-9-4"</f>
        <v>大竹市本町2-9-4</v>
      </c>
      <c r="C856" s="4">
        <v>46752</v>
      </c>
    </row>
    <row r="857" spans="1:3" s="1" customFormat="1" ht="18.75" customHeight="1" x14ac:dyDescent="0.4">
      <c r="A857" s="3" t="s">
        <v>650</v>
      </c>
      <c r="B857" s="3" t="str">
        <f>"大竹市油見3-12-7"</f>
        <v>大竹市油見3-12-7</v>
      </c>
      <c r="C857" s="4">
        <v>46387</v>
      </c>
    </row>
    <row r="858" spans="1:3" s="1" customFormat="1" ht="18.75" customHeight="1" x14ac:dyDescent="0.4">
      <c r="A858" s="3" t="s">
        <v>931</v>
      </c>
      <c r="B858" s="3" t="str">
        <f>"大竹市油見3-19-6"</f>
        <v>大竹市油見3-19-6</v>
      </c>
      <c r="C858" s="4">
        <v>46387</v>
      </c>
    </row>
    <row r="859" spans="1:3" s="1" customFormat="1" ht="18.75" customHeight="1" x14ac:dyDescent="0.4">
      <c r="A859" s="3" t="s">
        <v>851</v>
      </c>
      <c r="B859" s="3" t="str">
        <f>"大竹市立戸2-5-2"</f>
        <v>大竹市立戸2-5-2</v>
      </c>
      <c r="C859" s="4">
        <v>47483</v>
      </c>
    </row>
    <row r="860" spans="1:3" s="1" customFormat="1" ht="18.75" customHeight="1" x14ac:dyDescent="0.4">
      <c r="A860" s="3" t="s">
        <v>664</v>
      </c>
      <c r="B860" s="3" t="str">
        <f>"大竹市立戸2-6-26"</f>
        <v>大竹市立戸2-6-26</v>
      </c>
      <c r="C860" s="4">
        <v>46387</v>
      </c>
    </row>
    <row r="861" spans="1:3" s="1" customFormat="1" ht="18.75" customHeight="1" x14ac:dyDescent="0.4">
      <c r="A861" s="3" t="s">
        <v>583</v>
      </c>
      <c r="B861" s="3" t="s">
        <v>1280</v>
      </c>
      <c r="C861" s="4">
        <v>46387</v>
      </c>
    </row>
    <row r="862" spans="1:3" s="1" customFormat="1" ht="18.75" customHeight="1" x14ac:dyDescent="0.4">
      <c r="A862" s="3" t="s">
        <v>1279</v>
      </c>
      <c r="B862" s="3" t="str">
        <f>"東広島市河内町中河内655-1"</f>
        <v>東広島市河内町中河内655-1</v>
      </c>
      <c r="C862" s="4">
        <v>46387</v>
      </c>
    </row>
    <row r="863" spans="1:3" s="1" customFormat="1" ht="18.75" customHeight="1" x14ac:dyDescent="0.4">
      <c r="A863" s="3" t="s">
        <v>1276</v>
      </c>
      <c r="B863" s="3" t="str">
        <f>"東広島市高屋町杵原1296-1"</f>
        <v>東広島市高屋町杵原1296-1</v>
      </c>
      <c r="C863" s="4">
        <v>46387</v>
      </c>
    </row>
    <row r="864" spans="1:3" s="1" customFormat="1" ht="18.75" customHeight="1" x14ac:dyDescent="0.4">
      <c r="A864" s="3" t="s">
        <v>1282</v>
      </c>
      <c r="B864" s="3" t="str">
        <f>"東広島市高屋町高屋東2389-3"</f>
        <v>東広島市高屋町高屋東2389-3</v>
      </c>
      <c r="C864" s="4">
        <v>47483</v>
      </c>
    </row>
    <row r="865" spans="1:3" s="1" customFormat="1" ht="18.75" customHeight="1" x14ac:dyDescent="0.4">
      <c r="A865" s="3" t="s">
        <v>1143</v>
      </c>
      <c r="B865" s="3" t="s">
        <v>1020</v>
      </c>
      <c r="C865" s="4">
        <v>46387</v>
      </c>
    </row>
    <row r="866" spans="1:3" s="1" customFormat="1" ht="18.75" customHeight="1" x14ac:dyDescent="0.4">
      <c r="A866" s="3" t="s">
        <v>1281</v>
      </c>
      <c r="B866" s="3" t="str">
        <f>"東広島市高屋町中島429-1"</f>
        <v>東広島市高屋町中島429-1</v>
      </c>
      <c r="C866" s="4">
        <v>46752</v>
      </c>
    </row>
    <row r="867" spans="1:3" s="1" customFormat="1" ht="18.75" customHeight="1" x14ac:dyDescent="0.4">
      <c r="A867" s="3" t="s">
        <v>333</v>
      </c>
      <c r="B867" s="3" t="s">
        <v>1318</v>
      </c>
      <c r="C867" s="4">
        <v>46387</v>
      </c>
    </row>
    <row r="868" spans="1:3" s="1" customFormat="1" ht="18.75" customHeight="1" x14ac:dyDescent="0.4">
      <c r="A868" s="3" t="s">
        <v>1317</v>
      </c>
      <c r="B868" s="3" t="str">
        <f>"東広島市黒瀬町宗近柳国932-1"</f>
        <v>東広島市黒瀬町宗近柳国932-1</v>
      </c>
      <c r="C868" s="4">
        <v>47118</v>
      </c>
    </row>
    <row r="869" spans="1:3" s="1" customFormat="1" ht="18.75" customHeight="1" x14ac:dyDescent="0.4">
      <c r="A869" s="3" t="s">
        <v>941</v>
      </c>
      <c r="B869" s="3" t="str">
        <f>"東広島市黒瀬町楢原276-7"</f>
        <v>東広島市黒瀬町楢原276-7</v>
      </c>
      <c r="C869" s="4">
        <v>47483</v>
      </c>
    </row>
    <row r="870" spans="1:3" s="1" customFormat="1" ht="18.75" customHeight="1" x14ac:dyDescent="0.4">
      <c r="A870" s="3" t="s">
        <v>728</v>
      </c>
      <c r="B870" s="3" t="s">
        <v>1169</v>
      </c>
      <c r="C870" s="4">
        <v>46387</v>
      </c>
    </row>
    <row r="871" spans="1:3" s="1" customFormat="1" ht="18.75" customHeight="1" x14ac:dyDescent="0.4">
      <c r="A871" s="3" t="s">
        <v>497</v>
      </c>
      <c r="B871" s="3" t="str">
        <f>"東広島市西条栄町10-30-301"</f>
        <v>東広島市西条栄町10-30-301</v>
      </c>
      <c r="C871" s="4">
        <v>46387</v>
      </c>
    </row>
    <row r="872" spans="1:3" s="1" customFormat="1" ht="18.75" customHeight="1" x14ac:dyDescent="0.4">
      <c r="A872" s="3" t="s">
        <v>1273</v>
      </c>
      <c r="B872" s="3" t="str">
        <f>"東広島市西条栄町1-4-201"</f>
        <v>東広島市西条栄町1-4-201</v>
      </c>
      <c r="C872" s="4">
        <v>47483</v>
      </c>
    </row>
    <row r="873" spans="1:3" s="1" customFormat="1" ht="18.75" customHeight="1" x14ac:dyDescent="0.4">
      <c r="A873" s="3" t="s">
        <v>721</v>
      </c>
      <c r="B873" s="3" t="str">
        <f>"東広島市西条昭和町13-37"</f>
        <v>東広島市西条昭和町13-37</v>
      </c>
      <c r="C873" s="4">
        <v>46387</v>
      </c>
    </row>
    <row r="874" spans="1:3" s="1" customFormat="1" ht="18.75" customHeight="1" x14ac:dyDescent="0.4">
      <c r="A874" s="3" t="s">
        <v>796</v>
      </c>
      <c r="B874" s="3" t="str">
        <f>"東広島市西条昭和町9-4"</f>
        <v>東広島市西条昭和町9-4</v>
      </c>
      <c r="C874" s="4">
        <v>46387</v>
      </c>
    </row>
    <row r="875" spans="1:3" s="1" customFormat="1" ht="18.75" customHeight="1" x14ac:dyDescent="0.4">
      <c r="A875" s="3" t="s">
        <v>1278</v>
      </c>
      <c r="B875" s="3" t="str">
        <f>"東広島市西条中央4-4-5"</f>
        <v>東広島市西条中央4-4-5</v>
      </c>
      <c r="C875" s="4">
        <v>46387</v>
      </c>
    </row>
    <row r="876" spans="1:3" s="1" customFormat="1" ht="18.75" customHeight="1" x14ac:dyDescent="0.4">
      <c r="A876" s="3" t="s">
        <v>25</v>
      </c>
      <c r="B876" s="3" t="str">
        <f>"東広島市西条町吉行2135-1"</f>
        <v>東広島市西条町吉行2135-1</v>
      </c>
      <c r="C876" s="4">
        <v>46387</v>
      </c>
    </row>
    <row r="877" spans="1:3" s="1" customFormat="1" ht="18.75" customHeight="1" x14ac:dyDescent="0.4">
      <c r="A877" s="3" t="s">
        <v>193</v>
      </c>
      <c r="B877" s="3" t="str">
        <f>"東広島市西条町御薗宇5484-6"</f>
        <v>東広島市西条町御薗宇5484-6</v>
      </c>
      <c r="C877" s="4">
        <v>46387</v>
      </c>
    </row>
    <row r="878" spans="1:3" s="1" customFormat="1" ht="18.75" customHeight="1" x14ac:dyDescent="0.4">
      <c r="A878" s="3" t="s">
        <v>682</v>
      </c>
      <c r="B878" s="3" t="str">
        <f>"東広島市西条町御薗宇6088-3"</f>
        <v>東広島市西条町御薗宇6088-3</v>
      </c>
      <c r="C878" s="4">
        <v>46752</v>
      </c>
    </row>
    <row r="879" spans="1:3" s="1" customFormat="1" ht="18.75" customHeight="1" x14ac:dyDescent="0.4">
      <c r="A879" s="3" t="s">
        <v>127</v>
      </c>
      <c r="B879" s="3" t="str">
        <f>"東広島市西条町御薗宇下中筋1905-4"</f>
        <v>東広島市西条町御薗宇下中筋1905-4</v>
      </c>
      <c r="C879" s="4">
        <v>46387</v>
      </c>
    </row>
    <row r="880" spans="1:3" s="1" customFormat="1" ht="18.75" customHeight="1" x14ac:dyDescent="0.4">
      <c r="A880" s="3" t="s">
        <v>1333</v>
      </c>
      <c r="B880" s="3" t="s">
        <v>14</v>
      </c>
      <c r="C880" s="4">
        <v>46387</v>
      </c>
    </row>
    <row r="881" spans="1:3" s="1" customFormat="1" ht="18.75" customHeight="1" x14ac:dyDescent="0.4">
      <c r="A881" s="3" t="s">
        <v>13</v>
      </c>
      <c r="B881" s="3" t="str">
        <f>"東広島市西条町寺家7938-4"</f>
        <v>東広島市西条町寺家7938-4</v>
      </c>
      <c r="C881" s="4">
        <v>46387</v>
      </c>
    </row>
    <row r="882" spans="1:3" s="1" customFormat="1" ht="18.75" customHeight="1" x14ac:dyDescent="0.4">
      <c r="A882" s="3" t="s">
        <v>1277</v>
      </c>
      <c r="B882" s="3" t="str">
        <f>"東広島市西条町田口295-3"</f>
        <v>東広島市西条町田口295-3</v>
      </c>
      <c r="C882" s="4">
        <v>46387</v>
      </c>
    </row>
    <row r="883" spans="1:3" s="1" customFormat="1" ht="18.75" customHeight="1" x14ac:dyDescent="0.4">
      <c r="A883" s="3" t="s">
        <v>92</v>
      </c>
      <c r="B883" s="3" t="str">
        <f>"東広島市西条土与丸1-5-26"</f>
        <v>東広島市西条土与丸1-5-26</v>
      </c>
      <c r="C883" s="4">
        <v>46387</v>
      </c>
    </row>
    <row r="884" spans="1:3" s="1" customFormat="1" ht="18.75" customHeight="1" x14ac:dyDescent="0.4">
      <c r="A884" s="3" t="s">
        <v>844</v>
      </c>
      <c r="B884" s="3" t="str">
        <f>"東広島市八本松東6-11-15"</f>
        <v>東広島市八本松東6-11-15</v>
      </c>
      <c r="C884" s="4">
        <v>46387</v>
      </c>
    </row>
    <row r="885" spans="1:3" s="1" customFormat="1" ht="18.75" customHeight="1" x14ac:dyDescent="0.4">
      <c r="A885" s="3" t="s">
        <v>1162</v>
      </c>
      <c r="B885" s="3" t="str">
        <f>"東広島市八本松南2-2-8"</f>
        <v>東広島市八本松南2-2-8</v>
      </c>
      <c r="C885" s="4">
        <v>46387</v>
      </c>
    </row>
    <row r="886" spans="1:3" s="1" customFormat="1" ht="18.75" customHeight="1" x14ac:dyDescent="0.4">
      <c r="A886" s="3" t="s">
        <v>471</v>
      </c>
      <c r="B886" s="3" t="str">
        <f>"東広島市八本松南4-1-28"</f>
        <v>東広島市八本松南4-1-28</v>
      </c>
      <c r="C886" s="4">
        <v>46387</v>
      </c>
    </row>
    <row r="887" spans="1:3" s="1" customFormat="1" ht="18.75" customHeight="1" x14ac:dyDescent="0.4">
      <c r="A887" s="3" t="s">
        <v>791</v>
      </c>
      <c r="B887" s="3" t="str">
        <f>"東広島市八本松飯田5-8-32"</f>
        <v>東広島市八本松飯田5-8-32</v>
      </c>
      <c r="C887" s="4">
        <v>46752</v>
      </c>
    </row>
    <row r="888" spans="1:3" s="1" customFormat="1" ht="18.75" customHeight="1" x14ac:dyDescent="0.4">
      <c r="A888" s="3" t="s">
        <v>122</v>
      </c>
      <c r="B888" s="3" t="str">
        <f>"東広島市福富町久芳3700-1"</f>
        <v>東広島市福富町久芳3700-1</v>
      </c>
      <c r="C888" s="4">
        <v>46387</v>
      </c>
    </row>
    <row r="889" spans="1:3" s="1" customFormat="1" ht="18.75" customHeight="1" x14ac:dyDescent="0.4">
      <c r="A889" s="3" t="s">
        <v>1122</v>
      </c>
      <c r="B889" s="3" t="s">
        <v>1123</v>
      </c>
      <c r="C889" s="4">
        <v>46387</v>
      </c>
    </row>
    <row r="890" spans="1:3" s="1" customFormat="1" ht="18.75" customHeight="1" x14ac:dyDescent="0.4">
      <c r="A890" s="3" t="s">
        <v>1126</v>
      </c>
      <c r="B890" s="3" t="s">
        <v>1127</v>
      </c>
      <c r="C890" s="4">
        <v>46387</v>
      </c>
    </row>
    <row r="891" spans="1:3" s="1" customFormat="1" ht="18.75" customHeight="1" x14ac:dyDescent="0.4">
      <c r="A891" s="3" t="s">
        <v>17</v>
      </c>
      <c r="B891" s="3" t="str">
        <f>"東広島市河内町入野7907-2"</f>
        <v>東広島市河内町入野7907-2</v>
      </c>
      <c r="C891" s="4">
        <v>47483</v>
      </c>
    </row>
    <row r="892" spans="1:3" s="1" customFormat="1" ht="18.75" customHeight="1" x14ac:dyDescent="0.4">
      <c r="A892" s="3" t="s">
        <v>233</v>
      </c>
      <c r="B892" s="3" t="str">
        <f>"東広島市高屋高美が丘5-2-1"</f>
        <v>東広島市高屋高美が丘5-2-1</v>
      </c>
      <c r="C892" s="4">
        <v>46387</v>
      </c>
    </row>
    <row r="893" spans="1:3" s="1" customFormat="1" ht="18.75" customHeight="1" x14ac:dyDescent="0.4">
      <c r="A893" s="3" t="s">
        <v>980</v>
      </c>
      <c r="B893" s="3" t="str">
        <f>"東広島市高屋町杵原1135-2"</f>
        <v>東広島市高屋町杵原1135-2</v>
      </c>
      <c r="C893" s="4">
        <v>47118</v>
      </c>
    </row>
    <row r="894" spans="1:3" s="1" customFormat="1" ht="18.75" customHeight="1" x14ac:dyDescent="0.4">
      <c r="A894" s="3" t="s">
        <v>53</v>
      </c>
      <c r="B894" s="3" t="str">
        <f>"東広島市高屋町杵原1292-1"</f>
        <v>東広島市高屋町杵原1292-1</v>
      </c>
      <c r="C894" s="4">
        <v>47483</v>
      </c>
    </row>
    <row r="895" spans="1:3" s="1" customFormat="1" ht="18.75" customHeight="1" x14ac:dyDescent="0.4">
      <c r="A895" s="3" t="s">
        <v>956</v>
      </c>
      <c r="B895" s="3" t="str">
        <f>"東広島市高屋町杵原1347-8"</f>
        <v>東広島市高屋町杵原1347-8</v>
      </c>
      <c r="C895" s="4">
        <v>46387</v>
      </c>
    </row>
    <row r="896" spans="1:3" s="1" customFormat="1" ht="18.75" customHeight="1" x14ac:dyDescent="0.4">
      <c r="A896" s="3" t="s">
        <v>955</v>
      </c>
      <c r="B896" s="3" t="str">
        <f>"東広島市高屋町杵原1771-1"</f>
        <v>東広島市高屋町杵原1771-1</v>
      </c>
      <c r="C896" s="4">
        <v>46387</v>
      </c>
    </row>
    <row r="897" spans="1:3" s="1" customFormat="1" ht="18.75" customHeight="1" x14ac:dyDescent="0.4">
      <c r="A897" s="3" t="s">
        <v>694</v>
      </c>
      <c r="B897" s="3" t="str">
        <f>"東広島市高屋町杵原1826-1"</f>
        <v>東広島市高屋町杵原1826-1</v>
      </c>
      <c r="C897" s="4">
        <v>46387</v>
      </c>
    </row>
    <row r="898" spans="1:3" s="1" customFormat="1" ht="18.75" customHeight="1" x14ac:dyDescent="0.4">
      <c r="A898" s="3" t="s">
        <v>953</v>
      </c>
      <c r="B898" s="3" t="str">
        <f>"東広島市高屋町小谷3253-1"</f>
        <v>東広島市高屋町小谷3253-1</v>
      </c>
      <c r="C898" s="4">
        <v>46387</v>
      </c>
    </row>
    <row r="899" spans="1:3" s="1" customFormat="1" ht="18.75" customHeight="1" x14ac:dyDescent="0.4">
      <c r="A899" s="3" t="s">
        <v>947</v>
      </c>
      <c r="B899" s="3" t="str">
        <f>"東広島市高屋町造賀2957-1"</f>
        <v>東広島市高屋町造賀2957-1</v>
      </c>
      <c r="C899" s="4">
        <v>46387</v>
      </c>
    </row>
    <row r="900" spans="1:3" s="1" customFormat="1" ht="18.75" customHeight="1" x14ac:dyDescent="0.4">
      <c r="A900" s="3" t="s">
        <v>921</v>
      </c>
      <c r="B900" s="3" t="str">
        <f>"東広島市高屋町造賀737-2"</f>
        <v>東広島市高屋町造賀737-2</v>
      </c>
      <c r="C900" s="4">
        <v>46387</v>
      </c>
    </row>
    <row r="901" spans="1:3" s="1" customFormat="1" ht="18.75" customHeight="1" x14ac:dyDescent="0.4">
      <c r="A901" s="3" t="s">
        <v>981</v>
      </c>
      <c r="B901" s="3" t="str">
        <f>"東広島市高屋町大畠499-18"</f>
        <v>東広島市高屋町大畠499-18</v>
      </c>
      <c r="C901" s="4">
        <v>46387</v>
      </c>
    </row>
    <row r="902" spans="1:3" s="1" customFormat="1" ht="18.75" customHeight="1" x14ac:dyDescent="0.4">
      <c r="A902" s="3" t="s">
        <v>62</v>
      </c>
      <c r="B902" s="3" t="str">
        <f>"東広島市高屋町中島31-17"</f>
        <v>東広島市高屋町中島31-17</v>
      </c>
      <c r="C902" s="4">
        <v>46387</v>
      </c>
    </row>
    <row r="903" spans="1:3" s="1" customFormat="1" ht="18.75" customHeight="1" x14ac:dyDescent="0.4">
      <c r="A903" s="3" t="s">
        <v>945</v>
      </c>
      <c r="B903" s="3" t="str">
        <f>"東広島市高屋町白市716-1"</f>
        <v>東広島市高屋町白市716-1</v>
      </c>
      <c r="C903" s="4">
        <v>47118</v>
      </c>
    </row>
    <row r="904" spans="1:3" s="1" customFormat="1" ht="18.75" customHeight="1" x14ac:dyDescent="0.4">
      <c r="A904" s="3" t="s">
        <v>933</v>
      </c>
      <c r="B904" s="3" t="str">
        <f>"東広島市高屋町檜山448-1"</f>
        <v>東広島市高屋町檜山448-1</v>
      </c>
      <c r="C904" s="4">
        <v>46387</v>
      </c>
    </row>
    <row r="905" spans="1:3" s="1" customFormat="1" ht="18.75" customHeight="1" x14ac:dyDescent="0.4">
      <c r="A905" s="3" t="s">
        <v>1103</v>
      </c>
      <c r="B905" s="3" t="s">
        <v>1104</v>
      </c>
      <c r="C905" s="4">
        <v>46387</v>
      </c>
    </row>
    <row r="906" spans="1:3" s="1" customFormat="1" ht="18.75" customHeight="1" x14ac:dyDescent="0.4">
      <c r="A906" s="3" t="s">
        <v>990</v>
      </c>
      <c r="B906" s="3" t="str">
        <f>"東広島市黒瀬町兼広10-1"</f>
        <v>東広島市黒瀬町兼広10-1</v>
      </c>
      <c r="C906" s="4">
        <v>47848</v>
      </c>
    </row>
    <row r="907" spans="1:3" s="1" customFormat="1" ht="18.75" customHeight="1" x14ac:dyDescent="0.4">
      <c r="A907" s="3" t="s">
        <v>972</v>
      </c>
      <c r="B907" s="3" t="s">
        <v>973</v>
      </c>
      <c r="C907" s="4">
        <v>46387</v>
      </c>
    </row>
    <row r="908" spans="1:3" s="1" customFormat="1" ht="18.75" customHeight="1" x14ac:dyDescent="0.4">
      <c r="A908" s="3" t="s">
        <v>967</v>
      </c>
      <c r="B908" s="3" t="str">
        <f>"東広島市黒瀬町兼広137-8"</f>
        <v>東広島市黒瀬町兼広137-8</v>
      </c>
      <c r="C908" s="4">
        <v>46387</v>
      </c>
    </row>
    <row r="909" spans="1:3" s="1" customFormat="1" ht="18.75" customHeight="1" x14ac:dyDescent="0.4">
      <c r="A909" s="3" t="s">
        <v>965</v>
      </c>
      <c r="B909" s="3" t="s">
        <v>966</v>
      </c>
      <c r="C909" s="4">
        <v>46387</v>
      </c>
    </row>
    <row r="910" spans="1:3" s="1" customFormat="1" ht="18.75" customHeight="1" x14ac:dyDescent="0.4">
      <c r="A910" s="3" t="s">
        <v>969</v>
      </c>
      <c r="B910" s="3" t="s">
        <v>934</v>
      </c>
      <c r="C910" s="4">
        <v>46387</v>
      </c>
    </row>
    <row r="911" spans="1:3" s="1" customFormat="1" ht="18.75" customHeight="1" x14ac:dyDescent="0.4">
      <c r="A911" s="3" t="s">
        <v>1081</v>
      </c>
      <c r="B911" s="3" t="s">
        <v>1108</v>
      </c>
      <c r="C911" s="4">
        <v>46387</v>
      </c>
    </row>
    <row r="912" spans="1:3" s="1" customFormat="1" ht="18.75" customHeight="1" x14ac:dyDescent="0.4">
      <c r="A912" s="3" t="s">
        <v>186</v>
      </c>
      <c r="B912" s="3" t="s">
        <v>1102</v>
      </c>
      <c r="C912" s="4">
        <v>46387</v>
      </c>
    </row>
    <row r="913" spans="1:3" s="1" customFormat="1" ht="18.75" customHeight="1" x14ac:dyDescent="0.4">
      <c r="A913" s="3" t="s">
        <v>1109</v>
      </c>
      <c r="B913" s="3" t="str">
        <f>"東広島市黒瀬町国近335-1"</f>
        <v>東広島市黒瀬町国近335-1</v>
      </c>
      <c r="C913" s="4">
        <v>46387</v>
      </c>
    </row>
    <row r="914" spans="1:3" s="1" customFormat="1" ht="18.75" customHeight="1" x14ac:dyDescent="0.4">
      <c r="A914" s="3" t="s">
        <v>40</v>
      </c>
      <c r="B914" s="3" t="str">
        <f>"東広島市黒瀬町楢原243-6"</f>
        <v>東広島市黒瀬町楢原243-6</v>
      </c>
      <c r="C914" s="4">
        <v>46387</v>
      </c>
    </row>
    <row r="915" spans="1:3" s="1" customFormat="1" ht="18.75" customHeight="1" x14ac:dyDescent="0.4">
      <c r="A915" s="3" t="s">
        <v>1105</v>
      </c>
      <c r="B915" s="3" t="s">
        <v>1106</v>
      </c>
      <c r="C915" s="4">
        <v>46387</v>
      </c>
    </row>
    <row r="916" spans="1:3" s="1" customFormat="1" ht="18.75" customHeight="1" x14ac:dyDescent="0.4">
      <c r="A916" s="3" t="s">
        <v>1168</v>
      </c>
      <c r="B916" s="3" t="s">
        <v>1169</v>
      </c>
      <c r="C916" s="4">
        <v>46387</v>
      </c>
    </row>
    <row r="917" spans="1:3" s="1" customFormat="1" ht="18.75" customHeight="1" x14ac:dyDescent="0.4">
      <c r="A917" s="3" t="s">
        <v>950</v>
      </c>
      <c r="B917" s="3" t="str">
        <f>"東広島市志和町志和東1199-4"</f>
        <v>東広島市志和町志和東1199-4</v>
      </c>
      <c r="C917" s="4">
        <v>46387</v>
      </c>
    </row>
    <row r="918" spans="1:3" s="1" customFormat="1" ht="18.75" customHeight="1" x14ac:dyDescent="0.4">
      <c r="A918" s="3" t="s">
        <v>381</v>
      </c>
      <c r="B918" s="3" t="str">
        <f>"東広島市志和町七条椛坂1643-1"</f>
        <v>東広島市志和町七条椛坂1643-1</v>
      </c>
      <c r="C918" s="4">
        <v>46387</v>
      </c>
    </row>
    <row r="919" spans="1:3" s="1" customFormat="1" ht="18.75" customHeight="1" x14ac:dyDescent="0.4">
      <c r="A919" s="3" t="s">
        <v>733</v>
      </c>
      <c r="B919" s="3" t="str">
        <f>"東広島市寺家駅前13-35"</f>
        <v>東広島市寺家駅前13-35</v>
      </c>
      <c r="C919" s="4">
        <v>47483</v>
      </c>
    </row>
    <row r="920" spans="1:3" s="1" customFormat="1" ht="18.75" customHeight="1" x14ac:dyDescent="0.4">
      <c r="A920" s="3" t="s">
        <v>989</v>
      </c>
      <c r="B920" s="3" t="str">
        <f>"東広島市寺家駅前14-17-202"</f>
        <v>東広島市寺家駅前14-17-202</v>
      </c>
      <c r="C920" s="4">
        <v>47848</v>
      </c>
    </row>
    <row r="921" spans="1:3" s="1" customFormat="1" ht="18.75" customHeight="1" x14ac:dyDescent="0.4">
      <c r="A921" s="3" t="s">
        <v>526</v>
      </c>
      <c r="B921" s="3" t="str">
        <f>"東広島市寺家駅前14-17-301"</f>
        <v>東広島市寺家駅前14-17-301</v>
      </c>
      <c r="C921" s="4">
        <v>46022</v>
      </c>
    </row>
    <row r="922" spans="1:3" s="1" customFormat="1" ht="18.75" customHeight="1" x14ac:dyDescent="0.4">
      <c r="A922" s="3" t="s">
        <v>901</v>
      </c>
      <c r="B922" s="3" t="str">
        <f>"東広島市寺家駅前14-17-302"</f>
        <v>東広島市寺家駅前14-17-302</v>
      </c>
      <c r="C922" s="4">
        <v>47118</v>
      </c>
    </row>
    <row r="923" spans="1:3" s="1" customFormat="1" ht="18.75" customHeight="1" x14ac:dyDescent="0.4">
      <c r="A923" s="3" t="s">
        <v>991</v>
      </c>
      <c r="B923" s="3" t="str">
        <f>"東広島市西条栄町2-23"</f>
        <v>東広島市西条栄町2-23</v>
      </c>
      <c r="C923" s="4">
        <v>46752</v>
      </c>
    </row>
    <row r="924" spans="1:3" s="1" customFormat="1" ht="18.75" customHeight="1" x14ac:dyDescent="0.4">
      <c r="A924" s="3" t="s">
        <v>719</v>
      </c>
      <c r="B924" s="3" t="str">
        <f>"東広島市西条岡町3-25"</f>
        <v>東広島市西条岡町3-25</v>
      </c>
      <c r="C924" s="4">
        <v>46387</v>
      </c>
    </row>
    <row r="925" spans="1:3" s="1" customFormat="1" ht="18.75" customHeight="1" x14ac:dyDescent="0.4">
      <c r="A925" s="3" t="s">
        <v>700</v>
      </c>
      <c r="B925" s="3" t="str">
        <f>"東広島市西条岡町8-13"</f>
        <v>東広島市西条岡町8-13</v>
      </c>
      <c r="C925" s="4">
        <v>46387</v>
      </c>
    </row>
    <row r="926" spans="1:3" s="1" customFormat="1" ht="18.75" customHeight="1" x14ac:dyDescent="0.4">
      <c r="A926" s="3" t="s">
        <v>724</v>
      </c>
      <c r="B926" s="3" t="str">
        <f>"東広島市西条御条町4-19"</f>
        <v>東広島市西条御条町4-19</v>
      </c>
      <c r="C926" s="4">
        <v>46387</v>
      </c>
    </row>
    <row r="927" spans="1:3" s="1" customFormat="1" ht="18.75" customHeight="1" x14ac:dyDescent="0.4">
      <c r="A927" s="3" t="s">
        <v>621</v>
      </c>
      <c r="B927" s="3" t="str">
        <f>"東広島市西条昭和町12-40"</f>
        <v>東広島市西条昭和町12-40</v>
      </c>
      <c r="C927" s="4">
        <v>46387</v>
      </c>
    </row>
    <row r="928" spans="1:3" s="1" customFormat="1" ht="18.75" customHeight="1" x14ac:dyDescent="0.4">
      <c r="A928" s="3" t="s">
        <v>898</v>
      </c>
      <c r="B928" s="3" t="str">
        <f>"東広島市西条上市町5-5-3D"</f>
        <v>東広島市西条上市町5-5-3D</v>
      </c>
      <c r="C928" s="4">
        <v>46387</v>
      </c>
    </row>
    <row r="929" spans="1:3" s="1" customFormat="1" ht="18.75" customHeight="1" x14ac:dyDescent="0.4">
      <c r="A929" s="3" t="s">
        <v>940</v>
      </c>
      <c r="B929" s="3" t="str">
        <f>"東広島市西条西本町25-29"</f>
        <v>東広島市西条西本町25-29</v>
      </c>
      <c r="C929" s="4">
        <v>46387</v>
      </c>
    </row>
    <row r="930" spans="1:3" s="1" customFormat="1" ht="18.75" customHeight="1" x14ac:dyDescent="0.4">
      <c r="A930" s="3" t="s">
        <v>943</v>
      </c>
      <c r="B930" s="3" t="str">
        <f>"東広島市西条西本町27-28"</f>
        <v>東広島市西条西本町27-28</v>
      </c>
      <c r="C930" s="4">
        <v>46387</v>
      </c>
    </row>
    <row r="931" spans="1:3" s="1" customFormat="1" ht="18.75" customHeight="1" x14ac:dyDescent="0.4">
      <c r="A931" s="3" t="s">
        <v>983</v>
      </c>
      <c r="B931" s="3" t="str">
        <f>"東広島市西条西本町28-30"</f>
        <v>東広島市西条西本町28-30</v>
      </c>
      <c r="C931" s="4">
        <v>46387</v>
      </c>
    </row>
    <row r="932" spans="1:3" s="1" customFormat="1" ht="18.75" customHeight="1" x14ac:dyDescent="0.4">
      <c r="A932" s="3" t="s">
        <v>558</v>
      </c>
      <c r="B932" s="3" t="str">
        <f>"東広島市西条中央3-5-38"</f>
        <v>東広島市西条中央3-5-38</v>
      </c>
      <c r="C932" s="4">
        <v>46387</v>
      </c>
    </row>
    <row r="933" spans="1:3" s="1" customFormat="1" ht="18.75" customHeight="1" x14ac:dyDescent="0.4">
      <c r="A933" s="3" t="s">
        <v>942</v>
      </c>
      <c r="B933" s="3" t="str">
        <f>"東広島市西条中央3-5-6"</f>
        <v>東広島市西条中央3-5-6</v>
      </c>
      <c r="C933" s="4">
        <v>46387</v>
      </c>
    </row>
    <row r="934" spans="1:3" s="1" customFormat="1" ht="18.75" customHeight="1" x14ac:dyDescent="0.4">
      <c r="A934" s="3" t="s">
        <v>958</v>
      </c>
      <c r="B934" s="3" t="str">
        <f>"東広島市西条中央5-4-1"</f>
        <v>東広島市西条中央5-4-1</v>
      </c>
      <c r="C934" s="4">
        <v>46387</v>
      </c>
    </row>
    <row r="935" spans="1:3" s="1" customFormat="1" ht="18.75" customHeight="1" x14ac:dyDescent="0.4">
      <c r="A935" s="3" t="s">
        <v>753</v>
      </c>
      <c r="B935" s="3" t="str">
        <f>"東広島市西条中央7-1-17"</f>
        <v>東広島市西条中央7-1-17</v>
      </c>
      <c r="C935" s="4">
        <v>46752</v>
      </c>
    </row>
    <row r="936" spans="1:3" s="1" customFormat="1" ht="18.75" customHeight="1" x14ac:dyDescent="0.4">
      <c r="A936" s="3" t="s">
        <v>961</v>
      </c>
      <c r="B936" s="3" t="str">
        <f>"東広島市西条中央7-3-45"</f>
        <v>東広島市西条中央7-3-45</v>
      </c>
      <c r="C936" s="4">
        <v>46387</v>
      </c>
    </row>
    <row r="937" spans="1:3" s="1" customFormat="1" ht="18.75" customHeight="1" x14ac:dyDescent="0.4">
      <c r="A937" s="3" t="s">
        <v>684</v>
      </c>
      <c r="B937" s="3" t="str">
        <f>"東広島市西条中央7-3-45"</f>
        <v>東広島市西条中央7-3-45</v>
      </c>
      <c r="C937" s="4">
        <v>46752</v>
      </c>
    </row>
    <row r="938" spans="1:3" s="1" customFormat="1" ht="18.75" customHeight="1" x14ac:dyDescent="0.4">
      <c r="A938" s="3" t="s">
        <v>977</v>
      </c>
      <c r="B938" s="3" t="str">
        <f>"東広島市西条町下見4471-2"</f>
        <v>東広島市西条町下見4471-2</v>
      </c>
      <c r="C938" s="4">
        <v>47118</v>
      </c>
    </row>
    <row r="939" spans="1:3" s="1" customFormat="1" ht="18.75" customHeight="1" x14ac:dyDescent="0.4">
      <c r="A939" s="3" t="s">
        <v>742</v>
      </c>
      <c r="B939" s="3" t="str">
        <f>"東広島市西条町下三永向原10354-1"</f>
        <v>東広島市西条町下三永向原10354-1</v>
      </c>
      <c r="C939" s="4">
        <v>46387</v>
      </c>
    </row>
    <row r="940" spans="1:3" s="1" customFormat="1" ht="18.75" customHeight="1" x14ac:dyDescent="0.4">
      <c r="A940" s="3" t="s">
        <v>250</v>
      </c>
      <c r="B940" s="3" t="s">
        <v>954</v>
      </c>
      <c r="C940" s="4">
        <v>46387</v>
      </c>
    </row>
    <row r="941" spans="1:3" s="1" customFormat="1" ht="18.75" customHeight="1" x14ac:dyDescent="0.4">
      <c r="A941" s="3" t="s">
        <v>949</v>
      </c>
      <c r="B941" s="3" t="str">
        <f>"東広島市西条町御薗宇2421-4"</f>
        <v>東広島市西条町御薗宇2421-4</v>
      </c>
      <c r="C941" s="4">
        <v>47118</v>
      </c>
    </row>
    <row r="942" spans="1:3" s="1" customFormat="1" ht="18.75" customHeight="1" x14ac:dyDescent="0.4">
      <c r="A942" s="3" t="s">
        <v>970</v>
      </c>
      <c r="B942" s="3" t="str">
        <f>"東広島市西条町御薗宇4281-1"</f>
        <v>東広島市西条町御薗宇4281-1</v>
      </c>
      <c r="C942" s="4">
        <v>47118</v>
      </c>
    </row>
    <row r="943" spans="1:3" s="1" customFormat="1" ht="18.75" customHeight="1" x14ac:dyDescent="0.4">
      <c r="A943" s="3" t="s">
        <v>602</v>
      </c>
      <c r="B943" s="3" t="str">
        <f>"東広島市西条町御薗宇4281-1"</f>
        <v>東広島市西条町御薗宇4281-1</v>
      </c>
      <c r="C943" s="4">
        <v>46387</v>
      </c>
    </row>
    <row r="944" spans="1:3" s="1" customFormat="1" ht="18.75" customHeight="1" x14ac:dyDescent="0.4">
      <c r="A944" s="3" t="s">
        <v>599</v>
      </c>
      <c r="B944" s="3" t="s">
        <v>440</v>
      </c>
      <c r="C944" s="4">
        <v>46387</v>
      </c>
    </row>
    <row r="945" spans="1:3" s="1" customFormat="1" ht="18.75" customHeight="1" x14ac:dyDescent="0.4">
      <c r="A945" s="3" t="s">
        <v>601</v>
      </c>
      <c r="B945" s="3" t="str">
        <f>"東広島市西条町御薗宇5489-5"</f>
        <v>東広島市西条町御薗宇5489-5</v>
      </c>
      <c r="C945" s="4">
        <v>46387</v>
      </c>
    </row>
    <row r="946" spans="1:3" s="1" customFormat="1" ht="18.75" customHeight="1" x14ac:dyDescent="0.4">
      <c r="A946" s="3" t="s">
        <v>26</v>
      </c>
      <c r="B946" s="3" t="s">
        <v>557</v>
      </c>
      <c r="C946" s="4">
        <v>46387</v>
      </c>
    </row>
    <row r="947" spans="1:3" s="1" customFormat="1" ht="18.75" customHeight="1" x14ac:dyDescent="0.4">
      <c r="A947" s="3" t="s">
        <v>44</v>
      </c>
      <c r="B947" s="3" t="str">
        <f>"東広島市西条町御薗宇8537-1"</f>
        <v>東広島市西条町御薗宇8537-1</v>
      </c>
      <c r="C947" s="4">
        <v>46387</v>
      </c>
    </row>
    <row r="948" spans="1:3" s="1" customFormat="1" ht="18.75" customHeight="1" x14ac:dyDescent="0.4">
      <c r="A948" s="3" t="s">
        <v>554</v>
      </c>
      <c r="B948" s="3" t="s">
        <v>743</v>
      </c>
      <c r="C948" s="4">
        <v>46752</v>
      </c>
    </row>
    <row r="949" spans="1:3" s="1" customFormat="1" ht="18.75" customHeight="1" x14ac:dyDescent="0.4">
      <c r="A949" s="3" t="s">
        <v>922</v>
      </c>
      <c r="B949" s="3" t="s">
        <v>979</v>
      </c>
      <c r="C949" s="4">
        <v>47483</v>
      </c>
    </row>
    <row r="950" spans="1:3" s="1" customFormat="1" ht="18.75" customHeight="1" x14ac:dyDescent="0.4">
      <c r="A950" s="3" t="s">
        <v>515</v>
      </c>
      <c r="B950" s="3" t="s">
        <v>14</v>
      </c>
      <c r="C950" s="4">
        <v>46387</v>
      </c>
    </row>
    <row r="951" spans="1:3" s="1" customFormat="1" ht="18.75" customHeight="1" x14ac:dyDescent="0.4">
      <c r="A951" s="3" t="s">
        <v>986</v>
      </c>
      <c r="B951" s="3" t="str">
        <f>"東広島市西条町寺家5284-1"</f>
        <v>東広島市西条町寺家5284-1</v>
      </c>
      <c r="C951" s="4">
        <v>47118</v>
      </c>
    </row>
    <row r="952" spans="1:3" s="1" customFormat="1" ht="18.75" customHeight="1" x14ac:dyDescent="0.4">
      <c r="A952" s="3" t="s">
        <v>859</v>
      </c>
      <c r="B952" s="3" t="str">
        <f>"東広島市西条町寺家6621-1"</f>
        <v>東広島市西条町寺家6621-1</v>
      </c>
      <c r="C952" s="4">
        <v>46387</v>
      </c>
    </row>
    <row r="953" spans="1:3" s="1" customFormat="1" ht="18.75" customHeight="1" x14ac:dyDescent="0.4">
      <c r="A953" s="3" t="s">
        <v>976</v>
      </c>
      <c r="B953" s="3" t="s">
        <v>847</v>
      </c>
      <c r="C953" s="4">
        <v>46387</v>
      </c>
    </row>
    <row r="954" spans="1:3" s="1" customFormat="1" ht="18.75" customHeight="1" x14ac:dyDescent="0.4">
      <c r="A954" s="3" t="s">
        <v>492</v>
      </c>
      <c r="B954" s="3" t="str">
        <f>"東広島市西条町寺家7432-1"</f>
        <v>東広島市西条町寺家7432-1</v>
      </c>
      <c r="C954" s="4">
        <v>46387</v>
      </c>
    </row>
    <row r="955" spans="1:3" s="1" customFormat="1" ht="18.75" customHeight="1" x14ac:dyDescent="0.4">
      <c r="A955" s="3" t="s">
        <v>224</v>
      </c>
      <c r="B955" s="3" t="str">
        <f>"東広島市西条町寺家7432-1"</f>
        <v>東広島市西条町寺家7432-1</v>
      </c>
      <c r="C955" s="4">
        <v>46022</v>
      </c>
    </row>
    <row r="956" spans="1:3" s="1" customFormat="1" ht="18.75" customHeight="1" x14ac:dyDescent="0.4">
      <c r="A956" s="3" t="s">
        <v>994</v>
      </c>
      <c r="B956" s="3" t="str">
        <f>"東広島市西条町助実1063-1"</f>
        <v>東広島市西条町助実1063-1</v>
      </c>
      <c r="C956" s="4">
        <v>47483</v>
      </c>
    </row>
    <row r="957" spans="1:3" s="1" customFormat="1" ht="18.75" customHeight="1" x14ac:dyDescent="0.4">
      <c r="A957" s="3" t="s">
        <v>790</v>
      </c>
      <c r="B957" s="3" t="str">
        <f>"東広島市西条町助実1172-2F"</f>
        <v>東広島市西条町助実1172-2F</v>
      </c>
      <c r="C957" s="4">
        <v>47483</v>
      </c>
    </row>
    <row r="958" spans="1:3" s="1" customFormat="1" ht="18.75" customHeight="1" x14ac:dyDescent="0.4">
      <c r="A958" s="3" t="s">
        <v>754</v>
      </c>
      <c r="B958" s="3" t="str">
        <f>"東広島市西条町助実1172-3F"</f>
        <v>東広島市西条町助実1172-3F</v>
      </c>
      <c r="C958" s="4">
        <v>47483</v>
      </c>
    </row>
    <row r="959" spans="1:3" s="1" customFormat="1" ht="18.75" customHeight="1" x14ac:dyDescent="0.4">
      <c r="A959" s="3" t="s">
        <v>411</v>
      </c>
      <c r="B959" s="3" t="str">
        <f>"東広島市西条町助実1182-1"</f>
        <v>東広島市西条町助実1182-1</v>
      </c>
      <c r="C959" s="4">
        <v>46387</v>
      </c>
    </row>
    <row r="960" spans="1:3" s="1" customFormat="1" ht="18.75" customHeight="1" x14ac:dyDescent="0.4">
      <c r="A960" s="3" t="s">
        <v>946</v>
      </c>
      <c r="B960" s="3" t="str">
        <f>"東広島市西条町西条東1243-4"</f>
        <v>東広島市西条町西条東1243-4</v>
      </c>
      <c r="C960" s="4">
        <v>47118</v>
      </c>
    </row>
    <row r="961" spans="1:3" s="1" customFormat="1" ht="18.75" customHeight="1" x14ac:dyDescent="0.4">
      <c r="A961" s="3" t="s">
        <v>944</v>
      </c>
      <c r="B961" s="3" t="str">
        <f>"東広島市西条町西条東1283-2"</f>
        <v>東広島市西条町西条東1283-2</v>
      </c>
      <c r="C961" s="4">
        <v>46387</v>
      </c>
    </row>
    <row r="962" spans="1:3" s="1" customFormat="1" ht="18.75" customHeight="1" x14ac:dyDescent="0.4">
      <c r="A962" s="3" t="s">
        <v>962</v>
      </c>
      <c r="B962" s="3" t="str">
        <f>"東広島市西条町西条東山崎1281-5"</f>
        <v>東広島市西条町西条東山崎1281-5</v>
      </c>
      <c r="C962" s="4">
        <v>46387</v>
      </c>
    </row>
    <row r="963" spans="1:3" s="1" customFormat="1" ht="18.75" customHeight="1" x14ac:dyDescent="0.4">
      <c r="A963" s="3" t="s">
        <v>957</v>
      </c>
      <c r="B963" s="3" t="str">
        <f>"東広島市西条町大沢98-1"</f>
        <v>東広島市西条町大沢98-1</v>
      </c>
      <c r="C963" s="4">
        <v>46387</v>
      </c>
    </row>
    <row r="964" spans="1:3" s="1" customFormat="1" ht="18.75" customHeight="1" x14ac:dyDescent="0.4">
      <c r="A964" s="3" t="s">
        <v>878</v>
      </c>
      <c r="B964" s="3" t="str">
        <f>"東広島市西条町田口2721-2"</f>
        <v>東広島市西条町田口2721-2</v>
      </c>
      <c r="C964" s="4">
        <v>47483</v>
      </c>
    </row>
    <row r="965" spans="1:3" s="1" customFormat="1" ht="18.75" customHeight="1" x14ac:dyDescent="0.4">
      <c r="A965" s="3" t="s">
        <v>103</v>
      </c>
      <c r="B965" s="3" t="str">
        <f>"東広島市西条町田口295-3"</f>
        <v>東広島市西条町田口295-3</v>
      </c>
      <c r="C965" s="4">
        <v>46387</v>
      </c>
    </row>
    <row r="966" spans="1:3" s="1" customFormat="1" ht="18.75" customHeight="1" x14ac:dyDescent="0.4">
      <c r="A966" s="3" t="s">
        <v>235</v>
      </c>
      <c r="B966" s="3" t="s">
        <v>543</v>
      </c>
      <c r="C966" s="4">
        <v>46387</v>
      </c>
    </row>
    <row r="967" spans="1:3" s="1" customFormat="1" ht="18.75" customHeight="1" x14ac:dyDescent="0.4">
      <c r="A967" s="3" t="s">
        <v>666</v>
      </c>
      <c r="B967" s="3" t="s">
        <v>993</v>
      </c>
      <c r="C967" s="4">
        <v>47483</v>
      </c>
    </row>
    <row r="968" spans="1:3" s="1" customFormat="1" ht="18.75" customHeight="1" x14ac:dyDescent="0.4">
      <c r="A968" s="3" t="s">
        <v>869</v>
      </c>
      <c r="B968" s="3" t="str">
        <f>"東広島市西条土与丸1-5-52"</f>
        <v>東広島市西条土与丸1-5-52</v>
      </c>
      <c r="C968" s="4">
        <v>46387</v>
      </c>
    </row>
    <row r="969" spans="1:3" s="1" customFormat="1" ht="18.75" customHeight="1" x14ac:dyDescent="0.4">
      <c r="A969" s="3" t="s">
        <v>479</v>
      </c>
      <c r="B969" s="3" t="str">
        <f>"東広島市西条土与丸5-9-33"</f>
        <v>東広島市西条土与丸5-9-33</v>
      </c>
      <c r="C969" s="4">
        <v>46752</v>
      </c>
    </row>
    <row r="970" spans="1:3" s="1" customFormat="1" ht="18.75" customHeight="1" x14ac:dyDescent="0.4">
      <c r="A970" s="3" t="s">
        <v>988</v>
      </c>
      <c r="B970" s="3" t="str">
        <f>"東広島市西条土与丸5-9-34"</f>
        <v>東広島市西条土与丸5-9-34</v>
      </c>
      <c r="C970" s="4">
        <v>46387</v>
      </c>
    </row>
    <row r="971" spans="1:3" s="1" customFormat="1" ht="18.75" customHeight="1" x14ac:dyDescent="0.4">
      <c r="A971" s="3" t="s">
        <v>968</v>
      </c>
      <c r="B971" s="3" t="str">
        <f>"東広島市西条土与丸5-9-6"</f>
        <v>東広島市西条土与丸5-9-6</v>
      </c>
      <c r="C971" s="4">
        <v>46387</v>
      </c>
    </row>
    <row r="972" spans="1:3" s="1" customFormat="1" ht="18.75" customHeight="1" x14ac:dyDescent="0.4">
      <c r="A972" s="3" t="s">
        <v>61</v>
      </c>
      <c r="B972" s="3" t="str">
        <f>"東広島市西条土与丸6-1-91"</f>
        <v>東広島市西条土与丸6-1-91</v>
      </c>
      <c r="C972" s="4">
        <v>46387</v>
      </c>
    </row>
    <row r="973" spans="1:3" s="1" customFormat="1" ht="18.75" customHeight="1" x14ac:dyDescent="0.4">
      <c r="A973" s="3" t="s">
        <v>960</v>
      </c>
      <c r="B973" s="3" t="str">
        <f>"東広島市西条本町12-2"</f>
        <v>東広島市西条本町12-2</v>
      </c>
      <c r="C973" s="4">
        <v>46387</v>
      </c>
    </row>
    <row r="974" spans="1:3" s="1" customFormat="1" ht="18.75" customHeight="1" x14ac:dyDescent="0.4">
      <c r="A974" s="3" t="s">
        <v>982</v>
      </c>
      <c r="B974" s="3" t="str">
        <f>"東広島市西条本町12-2-2"</f>
        <v>東広島市西条本町12-2-2</v>
      </c>
      <c r="C974" s="4">
        <v>46387</v>
      </c>
    </row>
    <row r="975" spans="1:3" s="1" customFormat="1" ht="18.75" customHeight="1" x14ac:dyDescent="0.4">
      <c r="A975" s="3" t="s">
        <v>975</v>
      </c>
      <c r="B975" s="3" t="str">
        <f>"東広島市西条本町12-2-2F"</f>
        <v>東広島市西条本町12-2-2F</v>
      </c>
      <c r="C975" s="4">
        <v>46387</v>
      </c>
    </row>
    <row r="976" spans="1:3" s="1" customFormat="1" ht="18.75" customHeight="1" x14ac:dyDescent="0.4">
      <c r="A976" s="3" t="s">
        <v>912</v>
      </c>
      <c r="B976" s="3" t="str">
        <f>"東広島市西条本町12-2-2F"</f>
        <v>東広島市西条本町12-2-2F</v>
      </c>
      <c r="C976" s="4">
        <v>46752</v>
      </c>
    </row>
    <row r="977" spans="1:3" s="1" customFormat="1" ht="18.75" customHeight="1" x14ac:dyDescent="0.4">
      <c r="A977" s="3" t="s">
        <v>290</v>
      </c>
      <c r="B977" s="3" t="s">
        <v>987</v>
      </c>
      <c r="C977" s="4">
        <v>46387</v>
      </c>
    </row>
    <row r="978" spans="1:3" s="1" customFormat="1" ht="18.75" customHeight="1" x14ac:dyDescent="0.4">
      <c r="A978" s="3" t="s">
        <v>936</v>
      </c>
      <c r="B978" s="3" t="s">
        <v>938</v>
      </c>
      <c r="C978" s="4">
        <v>46387</v>
      </c>
    </row>
    <row r="979" spans="1:3" s="1" customFormat="1" ht="18.75" customHeight="1" x14ac:dyDescent="0.4">
      <c r="A979" s="3" t="s">
        <v>349</v>
      </c>
      <c r="B979" s="3" t="str">
        <f>"東広島市八本松町飯田111-1"</f>
        <v>東広島市八本松町飯田111-1</v>
      </c>
      <c r="C979" s="4">
        <v>46387</v>
      </c>
    </row>
    <row r="980" spans="1:3" s="1" customFormat="1" ht="18.75" customHeight="1" x14ac:dyDescent="0.4">
      <c r="A980" s="3" t="s">
        <v>978</v>
      </c>
      <c r="B980" s="3" t="str">
        <f>"東広島市八本松東3-31-26"</f>
        <v>東広島市八本松東3-31-26</v>
      </c>
      <c r="C980" s="4">
        <v>46387</v>
      </c>
    </row>
    <row r="981" spans="1:3" s="1" customFormat="1" ht="18.75" customHeight="1" x14ac:dyDescent="0.4">
      <c r="A981" s="3" t="s">
        <v>206</v>
      </c>
      <c r="B981" s="3" t="str">
        <f>"東広島市八本松東3-9-30"</f>
        <v>東広島市八本松東3-9-30</v>
      </c>
      <c r="C981" s="4">
        <v>46387</v>
      </c>
    </row>
    <row r="982" spans="1:3" s="1" customFormat="1" ht="18.75" customHeight="1" x14ac:dyDescent="0.4">
      <c r="A982" s="3" t="s">
        <v>948</v>
      </c>
      <c r="B982" s="3" t="str">
        <f>"東広島市八本松東7-8-15"</f>
        <v>東広島市八本松東7-8-15</v>
      </c>
      <c r="C982" s="4">
        <v>47118</v>
      </c>
    </row>
    <row r="983" spans="1:3" s="1" customFormat="1" ht="18.75" customHeight="1" x14ac:dyDescent="0.4">
      <c r="A983" s="3" t="s">
        <v>992</v>
      </c>
      <c r="B983" s="3" t="str">
        <f>"東広島市八本松南2-2-8"</f>
        <v>東広島市八本松南2-2-8</v>
      </c>
      <c r="C983" s="4">
        <v>47118</v>
      </c>
    </row>
    <row r="984" spans="1:3" s="1" customFormat="1" ht="18.75" customHeight="1" x14ac:dyDescent="0.4">
      <c r="A984" s="3" t="s">
        <v>691</v>
      </c>
      <c r="B984" s="3" t="str">
        <f>"東広島市八本松南2-4-15"</f>
        <v>東広島市八本松南2-4-15</v>
      </c>
      <c r="C984" s="4">
        <v>46387</v>
      </c>
    </row>
    <row r="985" spans="1:3" s="1" customFormat="1" ht="18.75" customHeight="1" x14ac:dyDescent="0.4">
      <c r="A985" s="3" t="s">
        <v>964</v>
      </c>
      <c r="B985" s="3" t="str">
        <f>"東広島市八本松南5-9-14"</f>
        <v>東広島市八本松南5-9-14</v>
      </c>
      <c r="C985" s="4">
        <v>46387</v>
      </c>
    </row>
    <row r="986" spans="1:3" s="1" customFormat="1" ht="18.75" customHeight="1" x14ac:dyDescent="0.4">
      <c r="A986" s="3" t="s">
        <v>935</v>
      </c>
      <c r="B986" s="3" t="str">
        <f>"東広島市八本松飯田6-16-12"</f>
        <v>東広島市八本松飯田6-16-12</v>
      </c>
      <c r="C986" s="4">
        <v>46752</v>
      </c>
    </row>
    <row r="987" spans="1:3" s="1" customFormat="1" ht="18.75" customHeight="1" x14ac:dyDescent="0.4">
      <c r="A987" s="3" t="s">
        <v>751</v>
      </c>
      <c r="B987" s="3" t="str">
        <f>"東広島市福富町久芳1539-27"</f>
        <v>東広島市福富町久芳1539-27</v>
      </c>
      <c r="C987" s="4">
        <v>46752</v>
      </c>
    </row>
    <row r="988" spans="1:3" s="1" customFormat="1" ht="18.75" customHeight="1" x14ac:dyDescent="0.4">
      <c r="A988" s="3" t="str">
        <f>"医療法人Dentiste-innov　ナタリーデンタルクリニック"</f>
        <v>医療法人Dentiste-innov　ナタリーデンタルクリニック</v>
      </c>
      <c r="B988" s="3" t="str">
        <f>"廿日市市阿品3-1-1-S102"</f>
        <v>廿日市市阿品3-1-1-S102</v>
      </c>
      <c r="C988" s="4">
        <v>46387</v>
      </c>
    </row>
    <row r="989" spans="1:3" s="1" customFormat="1" ht="18.75" customHeight="1" x14ac:dyDescent="0.4">
      <c r="A989" s="3" t="s">
        <v>1173</v>
      </c>
      <c r="B989" s="3" t="str">
        <f>"廿日市市阿品4-51-26"</f>
        <v>廿日市市阿品4-51-26</v>
      </c>
      <c r="C989" s="4">
        <v>46387</v>
      </c>
    </row>
    <row r="990" spans="1:3" s="1" customFormat="1" ht="18.75" customHeight="1" x14ac:dyDescent="0.4">
      <c r="A990" s="3" t="s">
        <v>1285</v>
      </c>
      <c r="B990" s="3" t="str">
        <f>"廿日市市阿品台3-11-17"</f>
        <v>廿日市市阿品台3-11-17</v>
      </c>
      <c r="C990" s="4">
        <v>46387</v>
      </c>
    </row>
    <row r="991" spans="1:3" s="1" customFormat="1" ht="18.75" customHeight="1" x14ac:dyDescent="0.4">
      <c r="A991" s="3" t="s">
        <v>1289</v>
      </c>
      <c r="B991" s="3" t="str">
        <f>"廿日市市塩屋2-4-5"</f>
        <v>廿日市市塩屋2-4-5</v>
      </c>
      <c r="C991" s="4">
        <v>46387</v>
      </c>
    </row>
    <row r="992" spans="1:3" s="1" customFormat="1" ht="18.75" customHeight="1" x14ac:dyDescent="0.4">
      <c r="A992" s="3" t="s">
        <v>1059</v>
      </c>
      <c r="B992" s="3" t="str">
        <f>"廿日市市沖塩屋4-4-51"</f>
        <v>廿日市市沖塩屋4-4-51</v>
      </c>
      <c r="C992" s="4">
        <v>46387</v>
      </c>
    </row>
    <row r="993" spans="1:3" s="1" customFormat="1" ht="18.75" customHeight="1" x14ac:dyDescent="0.4">
      <c r="A993" s="3" t="s">
        <v>1237</v>
      </c>
      <c r="B993" s="3" t="str">
        <f>"廿日市市下平良2-2-1"</f>
        <v>廿日市市下平良2-2-1</v>
      </c>
      <c r="C993" s="4">
        <v>47118</v>
      </c>
    </row>
    <row r="994" spans="1:3" s="1" customFormat="1" ht="18.75" customHeight="1" x14ac:dyDescent="0.4">
      <c r="A994" s="3" t="s">
        <v>541</v>
      </c>
      <c r="B994" s="3" t="str">
        <f>"廿日市市宮島口西2-7-16"</f>
        <v>廿日市市宮島口西2-7-16</v>
      </c>
      <c r="C994" s="4">
        <v>46387</v>
      </c>
    </row>
    <row r="995" spans="1:3" s="1" customFormat="1" ht="18.75" customHeight="1" x14ac:dyDescent="0.4">
      <c r="A995" s="3" t="s">
        <v>87</v>
      </c>
      <c r="B995" s="3" t="str">
        <f>"廿日市市宮内1097-2"</f>
        <v>廿日市市宮内1097-2</v>
      </c>
      <c r="C995" s="4">
        <v>46387</v>
      </c>
    </row>
    <row r="996" spans="1:3" s="1" customFormat="1" ht="18.75" customHeight="1" x14ac:dyDescent="0.4">
      <c r="A996" s="3" t="s">
        <v>1288</v>
      </c>
      <c r="B996" s="3" t="str">
        <f>"廿日市市宮内4-10-10"</f>
        <v>廿日市市宮内4-10-10</v>
      </c>
      <c r="C996" s="4">
        <v>46387</v>
      </c>
    </row>
    <row r="997" spans="1:3" s="1" customFormat="1" ht="18.75" customHeight="1" x14ac:dyDescent="0.4">
      <c r="A997" s="3" t="s">
        <v>1284</v>
      </c>
      <c r="B997" s="3" t="str">
        <f>"廿日市市宮内782-2"</f>
        <v>廿日市市宮内782-2</v>
      </c>
      <c r="C997" s="4">
        <v>46387</v>
      </c>
    </row>
    <row r="998" spans="1:3" s="1" customFormat="1" ht="18.75" customHeight="1" x14ac:dyDescent="0.4">
      <c r="A998" s="3" t="s">
        <v>1290</v>
      </c>
      <c r="B998" s="3" t="str">
        <f>"廿日市市串戸3-22-19"</f>
        <v>廿日市市串戸3-22-19</v>
      </c>
      <c r="C998" s="4">
        <v>46022</v>
      </c>
    </row>
    <row r="999" spans="1:3" s="1" customFormat="1" ht="18.75" customHeight="1" x14ac:dyDescent="0.4">
      <c r="A999" s="3" t="s">
        <v>1286</v>
      </c>
      <c r="B999" s="3" t="str">
        <f>"廿日市市串戸4-13-1-2F"</f>
        <v>廿日市市串戸4-13-1-2F</v>
      </c>
      <c r="C999" s="4">
        <v>46387</v>
      </c>
    </row>
    <row r="1000" spans="1:3" s="1" customFormat="1" ht="18.75" customHeight="1" x14ac:dyDescent="0.4">
      <c r="A1000" s="3" t="s">
        <v>1287</v>
      </c>
      <c r="B1000" s="3" t="str">
        <f>"廿日市市新宮1-2-26"</f>
        <v>廿日市市新宮1-2-26</v>
      </c>
      <c r="C1000" s="4">
        <v>46387</v>
      </c>
    </row>
    <row r="1001" spans="1:3" s="1" customFormat="1" ht="18.75" customHeight="1" x14ac:dyDescent="0.4">
      <c r="A1001" s="3" t="s">
        <v>1305</v>
      </c>
      <c r="B1001" s="3" t="str">
        <f>"廿日市市前空5-2-5"</f>
        <v>廿日市市前空5-2-5</v>
      </c>
      <c r="C1001" s="4">
        <v>46387</v>
      </c>
    </row>
    <row r="1002" spans="1:3" s="1" customFormat="1" ht="18.75" customHeight="1" x14ac:dyDescent="0.4">
      <c r="A1002" s="3" t="s">
        <v>1304</v>
      </c>
      <c r="B1002" s="3" t="str">
        <f>"廿日市市大野3300-16"</f>
        <v>廿日市市大野3300-16</v>
      </c>
      <c r="C1002" s="4">
        <v>46387</v>
      </c>
    </row>
    <row r="1003" spans="1:3" s="1" customFormat="1" ht="18.75" customHeight="1" x14ac:dyDescent="0.4">
      <c r="A1003" s="3" t="s">
        <v>1302</v>
      </c>
      <c r="B1003" s="3" t="str">
        <f>"廿日市市大野原2-4-28"</f>
        <v>廿日市市大野原2-4-28</v>
      </c>
      <c r="C1003" s="4">
        <v>46387</v>
      </c>
    </row>
    <row r="1004" spans="1:3" s="1" customFormat="1" ht="18.75" customHeight="1" x14ac:dyDescent="0.4">
      <c r="A1004" s="3" t="s">
        <v>1283</v>
      </c>
      <c r="B1004" s="3" t="str">
        <f>"廿日市市地御前1-3-3"</f>
        <v>廿日市市地御前1-3-3</v>
      </c>
      <c r="C1004" s="4">
        <v>46387</v>
      </c>
    </row>
    <row r="1005" spans="1:3" s="1" customFormat="1" ht="18.75" customHeight="1" x14ac:dyDescent="0.4">
      <c r="A1005" s="3" t="s">
        <v>1303</v>
      </c>
      <c r="B1005" s="3" t="str">
        <f>"廿日市市津田4233-1"</f>
        <v>廿日市市津田4233-1</v>
      </c>
      <c r="C1005" s="4">
        <v>46387</v>
      </c>
    </row>
    <row r="1006" spans="1:3" s="1" customFormat="1" ht="18.75" customHeight="1" x14ac:dyDescent="0.4">
      <c r="A1006" s="3" t="s">
        <v>1291</v>
      </c>
      <c r="B1006" s="3" t="str">
        <f>"廿日市市平良山手11-8"</f>
        <v>廿日市市平良山手11-8</v>
      </c>
      <c r="C1006" s="4">
        <v>47118</v>
      </c>
    </row>
    <row r="1007" spans="1:3" s="1" customFormat="1" ht="18.75" customHeight="1" x14ac:dyDescent="0.4">
      <c r="A1007" s="3" t="s">
        <v>768</v>
      </c>
      <c r="B1007" s="3" t="str">
        <f>"廿日市市阿品3-1-6"</f>
        <v>廿日市市阿品3-1-6</v>
      </c>
      <c r="C1007" s="4">
        <v>46752</v>
      </c>
    </row>
    <row r="1008" spans="1:3" s="1" customFormat="1" ht="18.75" customHeight="1" x14ac:dyDescent="0.4">
      <c r="A1008" s="3" t="s">
        <v>427</v>
      </c>
      <c r="B1008" s="3" t="str">
        <f>"廿日市市阿品3-1-6"</f>
        <v>廿日市市阿品3-1-6</v>
      </c>
      <c r="C1008" s="4">
        <v>46387</v>
      </c>
    </row>
    <row r="1009" spans="1:3" s="1" customFormat="1" ht="18.75" customHeight="1" x14ac:dyDescent="0.4">
      <c r="A1009" s="3" t="s">
        <v>482</v>
      </c>
      <c r="B1009" s="3" t="str">
        <f>"廿日市市阿品3-1-6"</f>
        <v>廿日市市阿品3-1-6</v>
      </c>
      <c r="C1009" s="4">
        <v>46387</v>
      </c>
    </row>
    <row r="1010" spans="1:3" s="1" customFormat="1" ht="18.75" customHeight="1" x14ac:dyDescent="0.4">
      <c r="A1010" s="3" t="s">
        <v>1022</v>
      </c>
      <c r="B1010" s="3" t="str">
        <f>"廿日市市阿品3-2-18"</f>
        <v>廿日市市阿品3-2-18</v>
      </c>
      <c r="C1010" s="4">
        <v>46387</v>
      </c>
    </row>
    <row r="1011" spans="1:3" s="1" customFormat="1" ht="18.75" customHeight="1" x14ac:dyDescent="0.4">
      <c r="A1011" s="3" t="s">
        <v>50</v>
      </c>
      <c r="B1011" s="3" t="str">
        <f>"廿日市市阿品3-5-8"</f>
        <v>廿日市市阿品3-5-8</v>
      </c>
      <c r="C1011" s="4">
        <v>47483</v>
      </c>
    </row>
    <row r="1012" spans="1:3" s="1" customFormat="1" ht="18.75" customHeight="1" x14ac:dyDescent="0.4">
      <c r="A1012" s="3" t="s">
        <v>1002</v>
      </c>
      <c r="B1012" s="3" t="str">
        <f>"廿日市市阿品4-51-1"</f>
        <v>廿日市市阿品4-51-1</v>
      </c>
      <c r="C1012" s="4">
        <v>46387</v>
      </c>
    </row>
    <row r="1013" spans="1:3" s="1" customFormat="1" ht="18.75" customHeight="1" x14ac:dyDescent="0.4">
      <c r="A1013" s="3" t="s">
        <v>713</v>
      </c>
      <c r="B1013" s="3" t="str">
        <f>"廿日市市阿品台4-1-24"</f>
        <v>廿日市市阿品台4-1-24</v>
      </c>
      <c r="C1013" s="4">
        <v>47483</v>
      </c>
    </row>
    <row r="1014" spans="1:3" s="1" customFormat="1" ht="18.75" customHeight="1" x14ac:dyDescent="0.4">
      <c r="A1014" s="3" t="s">
        <v>615</v>
      </c>
      <c r="B1014" s="3" t="str">
        <f>"廿日市市阿品台4-1-26"</f>
        <v>廿日市市阿品台4-1-26</v>
      </c>
      <c r="C1014" s="4">
        <v>46022</v>
      </c>
    </row>
    <row r="1015" spans="1:3" s="1" customFormat="1" ht="18.75" customHeight="1" x14ac:dyDescent="0.4">
      <c r="A1015" s="3" t="s">
        <v>1000</v>
      </c>
      <c r="B1015" s="3" t="str">
        <f>"廿日市市阿品台4-17-31"</f>
        <v>廿日市市阿品台4-17-31</v>
      </c>
      <c r="C1015" s="4">
        <v>46387</v>
      </c>
    </row>
    <row r="1016" spans="1:3" s="1" customFormat="1" ht="18.75" customHeight="1" x14ac:dyDescent="0.4">
      <c r="A1016" s="3" t="s">
        <v>995</v>
      </c>
      <c r="B1016" s="3" t="str">
        <f>"廿日市市駅前11-3"</f>
        <v>廿日市市駅前11-3</v>
      </c>
      <c r="C1016" s="4">
        <v>46387</v>
      </c>
    </row>
    <row r="1017" spans="1:3" s="1" customFormat="1" ht="18.75" customHeight="1" x14ac:dyDescent="0.4">
      <c r="A1017" s="3" t="s">
        <v>121</v>
      </c>
      <c r="B1017" s="3" t="str">
        <f>"廿日市市駅前4-28"</f>
        <v>廿日市市駅前4-28</v>
      </c>
      <c r="C1017" s="4">
        <v>46387</v>
      </c>
    </row>
    <row r="1018" spans="1:3" s="1" customFormat="1" ht="18.75" customHeight="1" x14ac:dyDescent="0.4">
      <c r="A1018" s="3" t="s">
        <v>1076</v>
      </c>
      <c r="B1018" s="3" t="str">
        <f>"廿日市市塩屋1-1-64"</f>
        <v>廿日市市塩屋1-1-64</v>
      </c>
      <c r="C1018" s="4">
        <v>46387</v>
      </c>
    </row>
    <row r="1019" spans="1:3" s="1" customFormat="1" ht="18.75" customHeight="1" x14ac:dyDescent="0.4">
      <c r="A1019" s="3" t="s">
        <v>32</v>
      </c>
      <c r="B1019" s="3" t="str">
        <f>"廿日市市塩屋2-2-16"</f>
        <v>廿日市市塩屋2-2-16</v>
      </c>
      <c r="C1019" s="4">
        <v>46387</v>
      </c>
    </row>
    <row r="1020" spans="1:3" s="1" customFormat="1" ht="18.75" customHeight="1" x14ac:dyDescent="0.4">
      <c r="A1020" s="3" t="s">
        <v>804</v>
      </c>
      <c r="B1020" s="3" t="str">
        <f>"廿日市市下平良1-3-36"</f>
        <v>廿日市市下平良1-3-36</v>
      </c>
      <c r="C1020" s="4">
        <v>46752</v>
      </c>
    </row>
    <row r="1021" spans="1:3" s="1" customFormat="1" ht="18.75" customHeight="1" x14ac:dyDescent="0.4">
      <c r="A1021" s="3" t="s">
        <v>1015</v>
      </c>
      <c r="B1021" s="3" t="str">
        <f>"廿日市市下平良1-3-36-201"</f>
        <v>廿日市市下平良1-3-36-201</v>
      </c>
      <c r="C1021" s="4">
        <v>46387</v>
      </c>
    </row>
    <row r="1022" spans="1:3" s="1" customFormat="1" ht="18.75" customHeight="1" x14ac:dyDescent="0.4">
      <c r="A1022" s="3" t="s">
        <v>788</v>
      </c>
      <c r="B1022" s="3" t="str">
        <f>"廿日市市下平良1-3-36-301"</f>
        <v>廿日市市下平良1-3-36-301</v>
      </c>
      <c r="C1022" s="4">
        <v>46387</v>
      </c>
    </row>
    <row r="1023" spans="1:3" s="1" customFormat="1" ht="18.75" customHeight="1" x14ac:dyDescent="0.4">
      <c r="A1023" s="3" t="s">
        <v>1077</v>
      </c>
      <c r="B1023" s="3" t="str">
        <f>"廿日市市丸石2-3-35"</f>
        <v>廿日市市丸石2-3-35</v>
      </c>
      <c r="C1023" s="4">
        <v>46387</v>
      </c>
    </row>
    <row r="1024" spans="1:3" s="1" customFormat="1" ht="18.75" customHeight="1" x14ac:dyDescent="0.4">
      <c r="A1024" s="3" t="s">
        <v>131</v>
      </c>
      <c r="B1024" s="3" t="str">
        <f>"廿日市市吉和1771-1"</f>
        <v>廿日市市吉和1771-1</v>
      </c>
      <c r="C1024" s="4">
        <v>46387</v>
      </c>
    </row>
    <row r="1025" spans="1:3" s="1" customFormat="1" ht="18.75" customHeight="1" x14ac:dyDescent="0.4">
      <c r="A1025" s="3" t="s">
        <v>1075</v>
      </c>
      <c r="B1025" s="3" t="str">
        <f>"廿日市市宮島口1-7-15"</f>
        <v>廿日市市宮島口1-7-15</v>
      </c>
      <c r="C1025" s="4">
        <v>46387</v>
      </c>
    </row>
    <row r="1026" spans="1:3" s="1" customFormat="1" ht="18.75" customHeight="1" x14ac:dyDescent="0.4">
      <c r="A1026" s="3" t="s">
        <v>1016</v>
      </c>
      <c r="B1026" s="3" t="str">
        <f>"廿日市市宮島町1185-1"</f>
        <v>廿日市市宮島町1185-1</v>
      </c>
      <c r="C1026" s="4">
        <v>46387</v>
      </c>
    </row>
    <row r="1027" spans="1:3" s="1" customFormat="1" ht="18.75" customHeight="1" x14ac:dyDescent="0.4">
      <c r="A1027" s="3" t="s">
        <v>1023</v>
      </c>
      <c r="B1027" s="3" t="str">
        <f>"廿日市市宮内1087-1"</f>
        <v>廿日市市宮内1087-1</v>
      </c>
      <c r="C1027" s="4">
        <v>46387</v>
      </c>
    </row>
    <row r="1028" spans="1:3" s="1" customFormat="1" ht="18.75" customHeight="1" x14ac:dyDescent="0.4">
      <c r="A1028" s="3" t="s">
        <v>1027</v>
      </c>
      <c r="B1028" s="3" t="str">
        <f>"廿日市市宮内3-10-15"</f>
        <v>廿日市市宮内3-10-15</v>
      </c>
      <c r="C1028" s="4">
        <v>47483</v>
      </c>
    </row>
    <row r="1029" spans="1:3" s="1" customFormat="1" ht="18.75" customHeight="1" x14ac:dyDescent="0.4">
      <c r="A1029" s="3" t="s">
        <v>438</v>
      </c>
      <c r="B1029" s="3" t="str">
        <f>"廿日市市宮内3-5-32"</f>
        <v>廿日市市宮内3-5-32</v>
      </c>
      <c r="C1029" s="4">
        <v>46752</v>
      </c>
    </row>
    <row r="1030" spans="1:3" s="1" customFormat="1" ht="18.75" customHeight="1" x14ac:dyDescent="0.4">
      <c r="A1030" s="3" t="s">
        <v>189</v>
      </c>
      <c r="B1030" s="3" t="str">
        <f>"廿日市市宮内4-10-23"</f>
        <v>廿日市市宮内4-10-23</v>
      </c>
      <c r="C1030" s="4">
        <v>46387</v>
      </c>
    </row>
    <row r="1031" spans="1:3" s="1" customFormat="1" ht="18.75" customHeight="1" x14ac:dyDescent="0.4">
      <c r="A1031" s="3" t="s">
        <v>1025</v>
      </c>
      <c r="B1031" s="3" t="str">
        <f>"廿日市市宮内4-11-16"</f>
        <v>廿日市市宮内4-11-16</v>
      </c>
      <c r="C1031" s="4">
        <v>46022</v>
      </c>
    </row>
    <row r="1032" spans="1:3" s="1" customFormat="1" ht="18.75" customHeight="1" x14ac:dyDescent="0.4">
      <c r="A1032" s="3" t="s">
        <v>1011</v>
      </c>
      <c r="B1032" s="3" t="str">
        <f>"廿日市市宮内4311-5"</f>
        <v>廿日市市宮内4311-5</v>
      </c>
      <c r="C1032" s="4">
        <v>46387</v>
      </c>
    </row>
    <row r="1033" spans="1:3" s="1" customFormat="1" ht="18.75" customHeight="1" x14ac:dyDescent="0.4">
      <c r="A1033" s="3" t="s">
        <v>1012</v>
      </c>
      <c r="B1033" s="3" t="str">
        <f>"廿日市市宮内4311-5"</f>
        <v>廿日市市宮内4311-5</v>
      </c>
      <c r="C1033" s="4">
        <v>46387</v>
      </c>
    </row>
    <row r="1034" spans="1:3" s="1" customFormat="1" ht="18.75" customHeight="1" x14ac:dyDescent="0.4">
      <c r="A1034" s="3" t="s">
        <v>963</v>
      </c>
      <c r="B1034" s="3" t="str">
        <f>"廿日市市宮内4478-1"</f>
        <v>廿日市市宮内4478-1</v>
      </c>
      <c r="C1034" s="4">
        <v>47118</v>
      </c>
    </row>
    <row r="1035" spans="1:3" s="1" customFormat="1" ht="18.75" customHeight="1" x14ac:dyDescent="0.4">
      <c r="A1035" s="3" t="s">
        <v>816</v>
      </c>
      <c r="B1035" s="3" t="str">
        <f>"廿日市市宮内佐原田4209-2"</f>
        <v>廿日市市宮内佐原田4209-2</v>
      </c>
      <c r="C1035" s="4">
        <v>46387</v>
      </c>
    </row>
    <row r="1036" spans="1:3" s="1" customFormat="1" ht="18.75" customHeight="1" x14ac:dyDescent="0.4">
      <c r="A1036" s="3" t="s">
        <v>906</v>
      </c>
      <c r="B1036" s="3" t="str">
        <f>"廿日市市串戸1-9-41-2"</f>
        <v>廿日市市串戸1-9-41-2</v>
      </c>
      <c r="C1036" s="4">
        <v>46387</v>
      </c>
    </row>
    <row r="1037" spans="1:3" s="1" customFormat="1" ht="18.75" customHeight="1" x14ac:dyDescent="0.4">
      <c r="A1037" s="3" t="s">
        <v>259</v>
      </c>
      <c r="B1037" s="3" t="str">
        <f>"廿日市市串戸2-17-4"</f>
        <v>廿日市市串戸2-17-4</v>
      </c>
      <c r="C1037" s="4">
        <v>47118</v>
      </c>
    </row>
    <row r="1038" spans="1:3" s="1" customFormat="1" ht="18.75" customHeight="1" x14ac:dyDescent="0.4">
      <c r="A1038" s="3" t="s">
        <v>1010</v>
      </c>
      <c r="B1038" s="3" t="str">
        <f>"廿日市市串戸2-17-4"</f>
        <v>廿日市市串戸2-17-4</v>
      </c>
      <c r="C1038" s="4">
        <v>46387</v>
      </c>
    </row>
    <row r="1039" spans="1:3" s="1" customFormat="1" ht="18.75" customHeight="1" x14ac:dyDescent="0.4">
      <c r="A1039" s="3" t="s">
        <v>622</v>
      </c>
      <c r="B1039" s="3" t="str">
        <f>"廿日市市串戸2-17-5"</f>
        <v>廿日市市串戸2-17-5</v>
      </c>
      <c r="C1039" s="4">
        <v>46387</v>
      </c>
    </row>
    <row r="1040" spans="1:3" s="1" customFormat="1" ht="18.75" customHeight="1" x14ac:dyDescent="0.4">
      <c r="A1040" s="3" t="s">
        <v>195</v>
      </c>
      <c r="B1040" s="3" t="str">
        <f>"廿日市市串戸2-20-1"</f>
        <v>廿日市市串戸2-20-1</v>
      </c>
      <c r="C1040" s="4">
        <v>47848</v>
      </c>
    </row>
    <row r="1041" spans="1:3" s="1" customFormat="1" ht="18.75" customHeight="1" x14ac:dyDescent="0.4">
      <c r="A1041" s="3" t="s">
        <v>984</v>
      </c>
      <c r="B1041" s="3" t="str">
        <f>"廿日市市串戸4-2-16"</f>
        <v>廿日市市串戸4-2-16</v>
      </c>
      <c r="C1041" s="4">
        <v>46752</v>
      </c>
    </row>
    <row r="1042" spans="1:3" s="1" customFormat="1" ht="18.75" customHeight="1" x14ac:dyDescent="0.4">
      <c r="A1042" s="3" t="s">
        <v>939</v>
      </c>
      <c r="B1042" s="3" t="str">
        <f>"廿日市市串戸5-1-37"</f>
        <v>廿日市市串戸5-1-37</v>
      </c>
      <c r="C1042" s="4">
        <v>46387</v>
      </c>
    </row>
    <row r="1043" spans="1:3" s="1" customFormat="1" ht="18.75" customHeight="1" x14ac:dyDescent="0.4">
      <c r="A1043" s="3" t="s">
        <v>199</v>
      </c>
      <c r="B1043" s="3" t="str">
        <f>"廿日市市原926-1"</f>
        <v>廿日市市原926-1</v>
      </c>
      <c r="C1043" s="4">
        <v>47118</v>
      </c>
    </row>
    <row r="1044" spans="1:3" s="1" customFormat="1" ht="18.75" customHeight="1" x14ac:dyDescent="0.4">
      <c r="A1044" s="3" t="s">
        <v>1018</v>
      </c>
      <c r="B1044" s="3" t="str">
        <f>"廿日市市佐方4-4-13"</f>
        <v>廿日市市佐方4-4-13</v>
      </c>
      <c r="C1044" s="4">
        <v>46387</v>
      </c>
    </row>
    <row r="1045" spans="1:3" s="1" customFormat="1" ht="18.75" customHeight="1" x14ac:dyDescent="0.4">
      <c r="A1045" s="3" t="s">
        <v>999</v>
      </c>
      <c r="B1045" s="3" t="str">
        <f>"廿日市市佐方4-8-31"</f>
        <v>廿日市市佐方4-8-31</v>
      </c>
      <c r="C1045" s="4">
        <v>46387</v>
      </c>
    </row>
    <row r="1046" spans="1:3" s="1" customFormat="1" ht="18.75" customHeight="1" x14ac:dyDescent="0.4">
      <c r="A1046" s="3" t="s">
        <v>1026</v>
      </c>
      <c r="B1046" s="3" t="str">
        <f>"廿日市市山陽園8-19"</f>
        <v>廿日市市山陽園8-19</v>
      </c>
      <c r="C1046" s="4">
        <v>46387</v>
      </c>
    </row>
    <row r="1047" spans="1:3" s="1" customFormat="1" ht="18.75" customHeight="1" x14ac:dyDescent="0.4">
      <c r="A1047" s="3" t="s">
        <v>220</v>
      </c>
      <c r="B1047" s="3" t="str">
        <f>"廿日市市四季が丘5-13-7"</f>
        <v>廿日市市四季が丘5-13-7</v>
      </c>
      <c r="C1047" s="4">
        <v>46387</v>
      </c>
    </row>
    <row r="1048" spans="1:3" s="1" customFormat="1" ht="18.75" customHeight="1" x14ac:dyDescent="0.4">
      <c r="A1048" s="3" t="s">
        <v>171</v>
      </c>
      <c r="B1048" s="3" t="str">
        <f>"廿日市市住吉1-4-15"</f>
        <v>廿日市市住吉1-4-15</v>
      </c>
      <c r="C1048" s="4">
        <v>47118</v>
      </c>
    </row>
    <row r="1049" spans="1:3" s="1" customFormat="1" ht="18.75" customHeight="1" x14ac:dyDescent="0.4">
      <c r="A1049" s="3" t="s">
        <v>1007</v>
      </c>
      <c r="B1049" s="3" t="str">
        <f>"廿日市市上平良144-1"</f>
        <v>廿日市市上平良144-1</v>
      </c>
      <c r="C1049" s="4">
        <v>46387</v>
      </c>
    </row>
    <row r="1050" spans="1:3" s="1" customFormat="1" ht="18.75" customHeight="1" x14ac:dyDescent="0.4">
      <c r="A1050" s="3" t="s">
        <v>1013</v>
      </c>
      <c r="B1050" s="3" t="str">
        <f>"廿日市市上平良358-1"</f>
        <v>廿日市市上平良358-1</v>
      </c>
      <c r="C1050" s="4">
        <v>46387</v>
      </c>
    </row>
    <row r="1051" spans="1:3" s="1" customFormat="1" ht="18.75" customHeight="1" x14ac:dyDescent="0.4">
      <c r="A1051" s="3" t="s">
        <v>998</v>
      </c>
      <c r="B1051" s="3" t="str">
        <f>"廿日市市新宮1-13-24"</f>
        <v>廿日市市新宮1-13-24</v>
      </c>
      <c r="C1051" s="4">
        <v>46387</v>
      </c>
    </row>
    <row r="1052" spans="1:3" s="1" customFormat="1" ht="18.75" customHeight="1" x14ac:dyDescent="0.4">
      <c r="A1052" s="3" t="s">
        <v>662</v>
      </c>
      <c r="B1052" s="3" t="str">
        <f>"廿日市市新宮2-1-15"</f>
        <v>廿日市市新宮2-1-15</v>
      </c>
      <c r="C1052" s="4">
        <v>46387</v>
      </c>
    </row>
    <row r="1053" spans="1:3" s="1" customFormat="1" ht="18.75" customHeight="1" x14ac:dyDescent="0.4">
      <c r="A1053" s="3" t="s">
        <v>695</v>
      </c>
      <c r="B1053" s="3" t="str">
        <f>"廿日市市大東1-5"</f>
        <v>廿日市市大東1-5</v>
      </c>
      <c r="C1053" s="4">
        <v>46387</v>
      </c>
    </row>
    <row r="1054" spans="1:3" s="1" customFormat="1" ht="18.75" customHeight="1" x14ac:dyDescent="0.4">
      <c r="A1054" s="3" t="s">
        <v>1069</v>
      </c>
      <c r="B1054" s="3" t="s">
        <v>1070</v>
      </c>
      <c r="C1054" s="4">
        <v>46387</v>
      </c>
    </row>
    <row r="1055" spans="1:3" s="1" customFormat="1" ht="18.75" customHeight="1" x14ac:dyDescent="0.4">
      <c r="A1055" s="3" t="s">
        <v>1019</v>
      </c>
      <c r="B1055" s="3" t="str">
        <f>"廿日市市大野下更地1809-9"</f>
        <v>廿日市市大野下更地1809-9</v>
      </c>
      <c r="C1055" s="4">
        <v>47118</v>
      </c>
    </row>
    <row r="1056" spans="1:3" s="1" customFormat="1" ht="18.75" customHeight="1" x14ac:dyDescent="0.4">
      <c r="A1056" s="3" t="s">
        <v>1017</v>
      </c>
      <c r="B1056" s="3" t="str">
        <f>"廿日市市大野早時3406-5"</f>
        <v>廿日市市大野早時3406-5</v>
      </c>
      <c r="C1056" s="4">
        <v>47118</v>
      </c>
    </row>
    <row r="1057" spans="1:3" s="1" customFormat="1" ht="18.75" customHeight="1" x14ac:dyDescent="0.4">
      <c r="A1057" s="3" t="s">
        <v>1065</v>
      </c>
      <c r="B1057" s="3" t="str">
        <f>"廿日市市大野中央3-2-31"</f>
        <v>廿日市市大野中央3-2-31</v>
      </c>
      <c r="C1057" s="4">
        <v>46387</v>
      </c>
    </row>
    <row r="1058" spans="1:3" s="1" customFormat="1" ht="18.75" customHeight="1" x14ac:dyDescent="0.4">
      <c r="A1058" s="3" t="s">
        <v>1024</v>
      </c>
      <c r="B1058" s="3" t="str">
        <f>"廿日市市大野中央5-1-43"</f>
        <v>廿日市市大野中央5-1-43</v>
      </c>
      <c r="C1058" s="4">
        <v>46387</v>
      </c>
    </row>
    <row r="1059" spans="1:3" s="1" customFormat="1" ht="18.75" customHeight="1" x14ac:dyDescent="0.4">
      <c r="A1059" s="3" t="s">
        <v>720</v>
      </c>
      <c r="B1059" s="3" t="str">
        <f>"廿日市市地御前1-2-22"</f>
        <v>廿日市市地御前1-2-22</v>
      </c>
      <c r="C1059" s="4">
        <v>46387</v>
      </c>
    </row>
    <row r="1060" spans="1:3" s="1" customFormat="1" ht="18.75" customHeight="1" x14ac:dyDescent="0.4">
      <c r="A1060" s="3" t="s">
        <v>642</v>
      </c>
      <c r="B1060" s="3" t="str">
        <f>"廿日市市地御前1-3-3"</f>
        <v>廿日市市地御前1-3-3</v>
      </c>
      <c r="C1060" s="4">
        <v>46387</v>
      </c>
    </row>
    <row r="1061" spans="1:3" s="1" customFormat="1" ht="18.75" customHeight="1" x14ac:dyDescent="0.4">
      <c r="A1061" s="3" t="s">
        <v>398</v>
      </c>
      <c r="B1061" s="3" t="str">
        <f>"廿日市市地御前2-10-22"</f>
        <v>廿日市市地御前2-10-22</v>
      </c>
      <c r="C1061" s="4">
        <v>46387</v>
      </c>
    </row>
    <row r="1062" spans="1:3" s="1" customFormat="1" ht="18.75" customHeight="1" x14ac:dyDescent="0.4">
      <c r="A1062" s="3" t="s">
        <v>60</v>
      </c>
      <c r="B1062" s="3" t="str">
        <f>"廿日市市地御前3-16-20"</f>
        <v>廿日市市地御前3-16-20</v>
      </c>
      <c r="C1062" s="4">
        <v>46387</v>
      </c>
    </row>
    <row r="1063" spans="1:3" s="1" customFormat="1" ht="18.75" customHeight="1" x14ac:dyDescent="0.4">
      <c r="A1063" s="3" t="s">
        <v>1006</v>
      </c>
      <c r="B1063" s="3" t="str">
        <f>"廿日市市地御前3-18-9"</f>
        <v>廿日市市地御前3-18-9</v>
      </c>
      <c r="C1063" s="4">
        <v>46752</v>
      </c>
    </row>
    <row r="1064" spans="1:3" s="1" customFormat="1" ht="18.75" customHeight="1" x14ac:dyDescent="0.4">
      <c r="A1064" s="3" t="s">
        <v>1072</v>
      </c>
      <c r="B1064" s="3" t="s">
        <v>1073</v>
      </c>
      <c r="C1064" s="4">
        <v>46387</v>
      </c>
    </row>
    <row r="1065" spans="1:3" s="1" customFormat="1" ht="18.75" customHeight="1" x14ac:dyDescent="0.4">
      <c r="A1065" s="3" t="s">
        <v>385</v>
      </c>
      <c r="B1065" s="3" t="s">
        <v>1073</v>
      </c>
      <c r="C1065" s="4">
        <v>46752</v>
      </c>
    </row>
    <row r="1066" spans="1:3" s="1" customFormat="1" ht="18.75" customHeight="1" x14ac:dyDescent="0.4">
      <c r="A1066" s="3" t="s">
        <v>1066</v>
      </c>
      <c r="B1066" s="3" t="s">
        <v>1067</v>
      </c>
      <c r="C1066" s="4">
        <v>46387</v>
      </c>
    </row>
    <row r="1067" spans="1:3" s="1" customFormat="1" ht="18.75" customHeight="1" x14ac:dyDescent="0.4">
      <c r="A1067" s="3" t="s">
        <v>1014</v>
      </c>
      <c r="B1067" s="3" t="str">
        <f>"廿日市市天神12-7-2F"</f>
        <v>廿日市市天神12-7-2F</v>
      </c>
      <c r="C1067" s="4">
        <v>46387</v>
      </c>
    </row>
    <row r="1068" spans="1:3" s="1" customFormat="1" ht="18.75" customHeight="1" x14ac:dyDescent="0.4">
      <c r="A1068" s="3" t="s">
        <v>1004</v>
      </c>
      <c r="B1068" s="3" t="str">
        <f>"廿日市市天神2-17"</f>
        <v>廿日市市天神2-17</v>
      </c>
      <c r="C1068" s="4">
        <v>46387</v>
      </c>
    </row>
    <row r="1069" spans="1:3" s="1" customFormat="1" ht="18.75" customHeight="1" x14ac:dyDescent="0.4">
      <c r="A1069" s="3" t="s">
        <v>1001</v>
      </c>
      <c r="B1069" s="3" t="str">
        <f>"廿日市市天神5-12"</f>
        <v>廿日市市天神5-12</v>
      </c>
      <c r="C1069" s="4">
        <v>46387</v>
      </c>
    </row>
    <row r="1070" spans="1:3" s="1" customFormat="1" ht="18.75" customHeight="1" x14ac:dyDescent="0.4">
      <c r="A1070" s="3" t="s">
        <v>996</v>
      </c>
      <c r="B1070" s="3" t="str">
        <f>"廿日市市廿日市1-7-5"</f>
        <v>廿日市市廿日市1-7-5</v>
      </c>
      <c r="C1070" s="4">
        <v>46387</v>
      </c>
    </row>
    <row r="1071" spans="1:3" s="1" customFormat="1" ht="18.75" customHeight="1" x14ac:dyDescent="0.4">
      <c r="A1071" s="3" t="s">
        <v>623</v>
      </c>
      <c r="B1071" s="3" t="str">
        <f>"廿日市市福面3-1-20"</f>
        <v>廿日市市福面3-1-20</v>
      </c>
      <c r="C1071" s="4">
        <v>46387</v>
      </c>
    </row>
    <row r="1072" spans="1:3" s="1" customFormat="1" ht="18.75" customHeight="1" x14ac:dyDescent="0.4">
      <c r="A1072" s="3" t="s">
        <v>364</v>
      </c>
      <c r="B1072" s="3" t="str">
        <f>"廿日市市平良2-10-37"</f>
        <v>廿日市市平良2-10-37</v>
      </c>
      <c r="C1072" s="4">
        <v>46387</v>
      </c>
    </row>
    <row r="1073" spans="1:3" s="1" customFormat="1" ht="18.75" customHeight="1" x14ac:dyDescent="0.4">
      <c r="A1073" s="3" t="s">
        <v>726</v>
      </c>
      <c r="B1073" s="3" t="str">
        <f>"廿日市市平良山手11-11"</f>
        <v>廿日市市平良山手11-11</v>
      </c>
      <c r="C1073" s="4">
        <v>46387</v>
      </c>
    </row>
    <row r="1074" spans="1:3" s="1" customFormat="1" ht="18.75" customHeight="1" x14ac:dyDescent="0.4">
      <c r="A1074" s="3" t="s">
        <v>24</v>
      </c>
      <c r="B1074" s="3" t="str">
        <f>"廿日市市本町5-12"</f>
        <v>廿日市市本町5-12</v>
      </c>
      <c r="C1074" s="4">
        <v>47483</v>
      </c>
    </row>
    <row r="1075" spans="1:3" s="1" customFormat="1" ht="18.75" customHeight="1" x14ac:dyDescent="0.4">
      <c r="A1075" s="3" t="s">
        <v>181</v>
      </c>
      <c r="B1075" s="3" t="str">
        <f>"廿日市市本町7-39"</f>
        <v>廿日市市本町7-39</v>
      </c>
      <c r="C1075" s="4">
        <v>46387</v>
      </c>
    </row>
    <row r="1076" spans="1:3" s="1" customFormat="1" ht="18.75" customHeight="1" x14ac:dyDescent="0.4">
      <c r="A1076" s="3" t="s">
        <v>862</v>
      </c>
      <c r="B1076" s="3" t="str">
        <f>"廿日市市陽光台5-12"</f>
        <v>廿日市市陽光台5-12</v>
      </c>
      <c r="C1076" s="4">
        <v>46387</v>
      </c>
    </row>
    <row r="1077" spans="1:3" s="1" customFormat="1" ht="18.75" customHeight="1" x14ac:dyDescent="0.4">
      <c r="A1077" s="3" t="s">
        <v>331</v>
      </c>
      <c r="B1077" s="3" t="str">
        <f>"廿日市市陽光台5-9"</f>
        <v>廿日市市陽光台5-9</v>
      </c>
      <c r="C1077" s="4">
        <v>46387</v>
      </c>
    </row>
    <row r="1078" spans="1:3" s="1" customFormat="1" ht="18.75" customHeight="1" x14ac:dyDescent="0.4">
      <c r="A1078" s="3" t="s">
        <v>260</v>
      </c>
      <c r="B1078" s="3" t="str">
        <f>"安芸高田市吉田町吉田1890-1"</f>
        <v>安芸高田市吉田町吉田1890-1</v>
      </c>
      <c r="C1078" s="4">
        <v>46387</v>
      </c>
    </row>
    <row r="1079" spans="1:3" s="1" customFormat="1" ht="18.75" customHeight="1" x14ac:dyDescent="0.4">
      <c r="A1079" s="3" t="s">
        <v>1224</v>
      </c>
      <c r="B1079" s="3" t="str">
        <f>"安芸高田市吉田町吉田3661-1"</f>
        <v>安芸高田市吉田町吉田3661-1</v>
      </c>
      <c r="C1079" s="4">
        <v>46387</v>
      </c>
    </row>
    <row r="1080" spans="1:3" s="1" customFormat="1" ht="18.75" customHeight="1" x14ac:dyDescent="0.4">
      <c r="A1080" s="3" t="s">
        <v>1313</v>
      </c>
      <c r="B1080" s="3" t="s">
        <v>697</v>
      </c>
      <c r="C1080" s="4">
        <v>46387</v>
      </c>
    </row>
    <row r="1081" spans="1:3" s="1" customFormat="1" ht="18.75" customHeight="1" x14ac:dyDescent="0.4">
      <c r="A1081" s="3" t="s">
        <v>1316</v>
      </c>
      <c r="B1081" s="3" t="s">
        <v>365</v>
      </c>
      <c r="C1081" s="4">
        <v>46387</v>
      </c>
    </row>
    <row r="1082" spans="1:3" s="1" customFormat="1" ht="18.75" customHeight="1" x14ac:dyDescent="0.4">
      <c r="A1082" s="3" t="s">
        <v>419</v>
      </c>
      <c r="B1082" s="3" t="s">
        <v>1312</v>
      </c>
      <c r="C1082" s="4">
        <v>46387</v>
      </c>
    </row>
    <row r="1083" spans="1:3" s="1" customFormat="1" ht="18.75" customHeight="1" x14ac:dyDescent="0.4">
      <c r="A1083" s="3" t="s">
        <v>776</v>
      </c>
      <c r="B1083" s="3" t="s">
        <v>1311</v>
      </c>
      <c r="C1083" s="4">
        <v>46387</v>
      </c>
    </row>
    <row r="1084" spans="1:3" s="1" customFormat="1" ht="18.75" customHeight="1" x14ac:dyDescent="0.4">
      <c r="A1084" s="3" t="s">
        <v>1314</v>
      </c>
      <c r="B1084" s="3" t="str">
        <f>"安芸高田市八千代町勝田459-2F"</f>
        <v>安芸高田市八千代町勝田459-2F</v>
      </c>
      <c r="C1084" s="4">
        <v>46387</v>
      </c>
    </row>
    <row r="1085" spans="1:3" s="1" customFormat="1" ht="18.75" customHeight="1" x14ac:dyDescent="0.4">
      <c r="A1085" s="3" t="s">
        <v>1315</v>
      </c>
      <c r="B1085" s="3" t="str">
        <f>"安芸高田市美土里町本郷1781-10"</f>
        <v>安芸高田市美土里町本郷1781-10</v>
      </c>
      <c r="C1085" s="4">
        <v>46387</v>
      </c>
    </row>
    <row r="1086" spans="1:3" s="1" customFormat="1" ht="18.75" customHeight="1" x14ac:dyDescent="0.4">
      <c r="A1086" s="3" t="s">
        <v>1090</v>
      </c>
      <c r="B1086" s="3" t="str">
        <f>"安芸高田市吉田町吉田1091-1"</f>
        <v>安芸高田市吉田町吉田1091-1</v>
      </c>
      <c r="C1086" s="4">
        <v>46387</v>
      </c>
    </row>
    <row r="1087" spans="1:3" s="1" customFormat="1" ht="18.75" customHeight="1" x14ac:dyDescent="0.4">
      <c r="A1087" s="3" t="s">
        <v>1097</v>
      </c>
      <c r="B1087" s="3" t="str">
        <f>"安芸高田市吉田町吉田1853-8"</f>
        <v>安芸高田市吉田町吉田1853-8</v>
      </c>
      <c r="C1087" s="4">
        <v>46387</v>
      </c>
    </row>
    <row r="1088" spans="1:3" s="1" customFormat="1" ht="18.75" customHeight="1" x14ac:dyDescent="0.4">
      <c r="A1088" s="3" t="s">
        <v>951</v>
      </c>
      <c r="B1088" s="3" t="s">
        <v>55</v>
      </c>
      <c r="C1088" s="4">
        <v>46387</v>
      </c>
    </row>
    <row r="1089" spans="1:3" s="1" customFormat="1" ht="18.75" customHeight="1" x14ac:dyDescent="0.4">
      <c r="A1089" s="3" t="s">
        <v>1093</v>
      </c>
      <c r="B1089" s="3" t="str">
        <f>"安芸高田市吉田町吉田695-1"</f>
        <v>安芸高田市吉田町吉田695-1</v>
      </c>
      <c r="C1089" s="4">
        <v>46387</v>
      </c>
    </row>
    <row r="1090" spans="1:3" s="1" customFormat="1" ht="18.75" customHeight="1" x14ac:dyDescent="0.4">
      <c r="A1090" s="3" t="s">
        <v>1101</v>
      </c>
      <c r="B1090" s="3" t="s">
        <v>639</v>
      </c>
      <c r="C1090" s="4">
        <v>46387</v>
      </c>
    </row>
    <row r="1091" spans="1:3" s="1" customFormat="1" ht="18.75" customHeight="1" x14ac:dyDescent="0.4">
      <c r="A1091" s="3" t="s">
        <v>326</v>
      </c>
      <c r="B1091" s="3" t="s">
        <v>1091</v>
      </c>
      <c r="C1091" s="4">
        <v>47118</v>
      </c>
    </row>
    <row r="1092" spans="1:3" s="1" customFormat="1" ht="18.75" customHeight="1" x14ac:dyDescent="0.4">
      <c r="A1092" s="3" t="s">
        <v>1098</v>
      </c>
      <c r="B1092" s="3" t="str">
        <f>"安芸高田市吉田町常友341-1"</f>
        <v>安芸高田市吉田町常友341-1</v>
      </c>
      <c r="C1092" s="4">
        <v>46387</v>
      </c>
    </row>
    <row r="1093" spans="1:3" s="1" customFormat="1" ht="18.75" customHeight="1" x14ac:dyDescent="0.4">
      <c r="A1093" s="3" t="s">
        <v>246</v>
      </c>
      <c r="B1093" s="3" t="str">
        <f>"安芸高田市向原町坂428-2"</f>
        <v>安芸高田市向原町坂428-2</v>
      </c>
      <c r="C1093" s="4">
        <v>46387</v>
      </c>
    </row>
    <row r="1094" spans="1:3" s="1" customFormat="1" ht="18.75" customHeight="1" x14ac:dyDescent="0.4">
      <c r="A1094" s="3" t="s">
        <v>1095</v>
      </c>
      <c r="B1094" s="3" t="s">
        <v>1096</v>
      </c>
      <c r="C1094" s="4">
        <v>46387</v>
      </c>
    </row>
    <row r="1095" spans="1:3" s="1" customFormat="1" ht="18.75" customHeight="1" x14ac:dyDescent="0.4">
      <c r="A1095" s="3" t="s">
        <v>1099</v>
      </c>
      <c r="B1095" s="3" t="str">
        <f>"安芸高田市甲田町高田原1472-2"</f>
        <v>安芸高田市甲田町高田原1472-2</v>
      </c>
      <c r="C1095" s="4">
        <v>46387</v>
      </c>
    </row>
    <row r="1096" spans="1:3" s="1" customFormat="1" ht="18.75" customHeight="1" x14ac:dyDescent="0.4">
      <c r="A1096" s="3" t="s">
        <v>997</v>
      </c>
      <c r="B1096" s="3" t="str">
        <f>"安芸高田市甲田町高田原1474-3"</f>
        <v>安芸高田市甲田町高田原1474-3</v>
      </c>
      <c r="C1096" s="4">
        <v>46387</v>
      </c>
    </row>
    <row r="1097" spans="1:3" s="1" customFormat="1" ht="18.75" customHeight="1" x14ac:dyDescent="0.4">
      <c r="A1097" s="3" t="s">
        <v>1100</v>
      </c>
      <c r="B1097" s="3" t="str">
        <f>"安芸高田市高宮町佐々部983-17"</f>
        <v>安芸高田市高宮町佐々部983-17</v>
      </c>
      <c r="C1097" s="4">
        <v>46387</v>
      </c>
    </row>
    <row r="1098" spans="1:3" s="1" customFormat="1" ht="18.75" customHeight="1" x14ac:dyDescent="0.4">
      <c r="A1098" s="3" t="s">
        <v>784</v>
      </c>
      <c r="B1098" s="3" t="s">
        <v>773</v>
      </c>
      <c r="C1098" s="4">
        <v>47483</v>
      </c>
    </row>
    <row r="1099" spans="1:3" s="1" customFormat="1" ht="18.75" customHeight="1" x14ac:dyDescent="0.4">
      <c r="A1099" s="3" t="s">
        <v>1338</v>
      </c>
      <c r="B1099" s="3" t="s">
        <v>773</v>
      </c>
      <c r="C1099" s="4">
        <v>47483</v>
      </c>
    </row>
    <row r="1100" spans="1:3" s="1" customFormat="1" ht="18.75" customHeight="1" x14ac:dyDescent="0.4">
      <c r="A1100" s="3" t="s">
        <v>474</v>
      </c>
      <c r="B1100" s="3" t="str">
        <f>"江田島市江田島町小用2-3-2"</f>
        <v>江田島市江田島町小用2-3-2</v>
      </c>
      <c r="C1100" s="4">
        <v>46387</v>
      </c>
    </row>
    <row r="1101" spans="1:3" s="1" customFormat="1" ht="18.75" customHeight="1" x14ac:dyDescent="0.4">
      <c r="A1101" s="3" t="s">
        <v>1028</v>
      </c>
      <c r="B1101" s="3" t="str">
        <f>"江田島市江田島町秋月2-6-15"</f>
        <v>江田島市江田島町秋月2-6-15</v>
      </c>
      <c r="C1101" s="4">
        <v>46387</v>
      </c>
    </row>
    <row r="1102" spans="1:3" s="1" customFormat="1" ht="18.75" customHeight="1" x14ac:dyDescent="0.4">
      <c r="A1102" s="3" t="s">
        <v>2</v>
      </c>
      <c r="B1102" s="3" t="str">
        <f>"江田島市江田島町切串2-17-10"</f>
        <v>江田島市江田島町切串2-17-10</v>
      </c>
      <c r="C1102" s="4">
        <v>47118</v>
      </c>
    </row>
    <row r="1103" spans="1:3" s="1" customFormat="1" ht="18.75" customHeight="1" x14ac:dyDescent="0.4">
      <c r="A1103" s="3" t="s">
        <v>596</v>
      </c>
      <c r="B1103" s="3" t="str">
        <f>"江田島市江田島町中央2-1-8"</f>
        <v>江田島市江田島町中央2-1-8</v>
      </c>
      <c r="C1103" s="4">
        <v>47118</v>
      </c>
    </row>
    <row r="1104" spans="1:3" s="1" customFormat="1" ht="18.75" customHeight="1" x14ac:dyDescent="0.4">
      <c r="A1104" s="3" t="s">
        <v>1031</v>
      </c>
      <c r="B1104" s="3" t="str">
        <f>"江田島市江田島町中央4-17-10"</f>
        <v>江田島市江田島町中央4-17-10</v>
      </c>
      <c r="C1104" s="4">
        <v>46387</v>
      </c>
    </row>
    <row r="1105" spans="1:3" s="1" customFormat="1" ht="18.75" customHeight="1" x14ac:dyDescent="0.4">
      <c r="A1105" s="3" t="s">
        <v>334</v>
      </c>
      <c r="B1105" s="3" t="str">
        <f>"江田島市大柿町柿浦2076-8"</f>
        <v>江田島市大柿町柿浦2076-8</v>
      </c>
      <c r="C1105" s="4">
        <v>47118</v>
      </c>
    </row>
    <row r="1106" spans="1:3" s="1" customFormat="1" ht="18.75" customHeight="1" x14ac:dyDescent="0.4">
      <c r="A1106" s="3" t="s">
        <v>1029</v>
      </c>
      <c r="B1106" s="3" t="str">
        <f>"江田島市大柿町小古江668-2"</f>
        <v>江田島市大柿町小古江668-2</v>
      </c>
      <c r="C1106" s="4">
        <v>46752</v>
      </c>
    </row>
    <row r="1107" spans="1:3" s="1" customFormat="1" ht="18.75" customHeight="1" x14ac:dyDescent="0.4">
      <c r="A1107" s="3" t="s">
        <v>593</v>
      </c>
      <c r="B1107" s="3" t="str">
        <f>"江田島市大柿町深江963-1"</f>
        <v>江田島市大柿町深江963-1</v>
      </c>
      <c r="C1107" s="4">
        <v>46387</v>
      </c>
    </row>
    <row r="1108" spans="1:3" s="1" customFormat="1" ht="18.75" customHeight="1" x14ac:dyDescent="0.4">
      <c r="A1108" s="3" t="s">
        <v>643</v>
      </c>
      <c r="B1108" s="3" t="str">
        <f>"江田島市能美町鹿川3089-1"</f>
        <v>江田島市能美町鹿川3089-1</v>
      </c>
      <c r="C1108" s="4">
        <v>46387</v>
      </c>
    </row>
    <row r="1109" spans="1:3" s="1" customFormat="1" ht="18.75" customHeight="1" x14ac:dyDescent="0.4">
      <c r="A1109" s="3" t="s">
        <v>889</v>
      </c>
      <c r="B1109" s="3" t="s">
        <v>167</v>
      </c>
      <c r="C1109" s="4">
        <v>46387</v>
      </c>
    </row>
    <row r="1110" spans="1:3" s="1" customFormat="1" ht="18.75" customHeight="1" x14ac:dyDescent="0.4">
      <c r="A1110" s="3" t="s">
        <v>1068</v>
      </c>
      <c r="B1110" s="3" t="str">
        <f>"江田島市能美町中町4930-5"</f>
        <v>江田島市能美町中町4930-5</v>
      </c>
      <c r="C1110" s="4">
        <v>47118</v>
      </c>
    </row>
    <row r="1111" spans="1:3" s="1" customFormat="1" ht="18.75" customHeight="1" x14ac:dyDescent="0.4">
      <c r="A1111" s="3" t="s">
        <v>1300</v>
      </c>
      <c r="B1111" s="3" t="str">
        <f>"安芸郡府中町鹿籠2-13-12-101"</f>
        <v>安芸郡府中町鹿籠2-13-12-101</v>
      </c>
      <c r="C1111" s="4">
        <v>46387</v>
      </c>
    </row>
    <row r="1112" spans="1:3" s="1" customFormat="1" ht="18.75" customHeight="1" x14ac:dyDescent="0.4">
      <c r="A1112" s="3" t="s">
        <v>501</v>
      </c>
      <c r="B1112" s="3" t="str">
        <f>"安芸郡府中町青崎東1-6"</f>
        <v>安芸郡府中町青崎東1-6</v>
      </c>
      <c r="C1112" s="4">
        <v>46387</v>
      </c>
    </row>
    <row r="1113" spans="1:3" s="1" customFormat="1" ht="18.75" customHeight="1" x14ac:dyDescent="0.4">
      <c r="A1113" s="3" t="s">
        <v>1292</v>
      </c>
      <c r="B1113" s="3" t="str">
        <f>"安芸郡府中町青崎南2-15"</f>
        <v>安芸郡府中町青崎南2-15</v>
      </c>
      <c r="C1113" s="4">
        <v>46387</v>
      </c>
    </row>
    <row r="1114" spans="1:3" s="1" customFormat="1" ht="18.75" customHeight="1" x14ac:dyDescent="0.4">
      <c r="A1114" s="3" t="s">
        <v>1298</v>
      </c>
      <c r="B1114" s="3" t="str">
        <f>"安芸郡府中町大須1-17-23"</f>
        <v>安芸郡府中町大須1-17-23</v>
      </c>
      <c r="C1114" s="4">
        <v>46387</v>
      </c>
    </row>
    <row r="1115" spans="1:3" s="1" customFormat="1" ht="18.75" customHeight="1" x14ac:dyDescent="0.4">
      <c r="A1115" s="3" t="s">
        <v>1296</v>
      </c>
      <c r="B1115" s="3" t="str">
        <f>"安芸郡府中町桃山1-8-4-103"</f>
        <v>安芸郡府中町桃山1-8-4-103</v>
      </c>
      <c r="C1115" s="4">
        <v>46387</v>
      </c>
    </row>
    <row r="1116" spans="1:3" s="1" customFormat="1" ht="18.75" customHeight="1" x14ac:dyDescent="0.4">
      <c r="A1116" s="3" t="s">
        <v>1151</v>
      </c>
      <c r="B1116" s="3" t="str">
        <f>"安芸郡府中町八幡2-3-3"</f>
        <v>安芸郡府中町八幡2-3-3</v>
      </c>
      <c r="C1116" s="4">
        <v>46387</v>
      </c>
    </row>
    <row r="1117" spans="1:3" s="1" customFormat="1" ht="18.75" customHeight="1" x14ac:dyDescent="0.4">
      <c r="A1117" s="3" t="s">
        <v>1301</v>
      </c>
      <c r="B1117" s="3" t="str">
        <f>"安芸郡府中町浜田2-2-16"</f>
        <v>安芸郡府中町浜田2-2-16</v>
      </c>
      <c r="C1117" s="4">
        <v>47483</v>
      </c>
    </row>
    <row r="1118" spans="1:3" s="1" customFormat="1" ht="18.75" customHeight="1" x14ac:dyDescent="0.4">
      <c r="A1118" s="3" t="s">
        <v>1295</v>
      </c>
      <c r="B1118" s="3" t="str">
        <f>"安芸郡府中町本町2-5-11"</f>
        <v>安芸郡府中町本町2-5-11</v>
      </c>
      <c r="C1118" s="4">
        <v>46387</v>
      </c>
    </row>
    <row r="1119" spans="1:3" s="1" customFormat="1" ht="18.75" customHeight="1" x14ac:dyDescent="0.4">
      <c r="A1119" s="3" t="s">
        <v>1299</v>
      </c>
      <c r="B1119" s="3" t="str">
        <f>"安芸郡府中町本町4-5-37"</f>
        <v>安芸郡府中町本町4-5-37</v>
      </c>
      <c r="C1119" s="4">
        <v>47848</v>
      </c>
    </row>
    <row r="1120" spans="1:3" s="1" customFormat="1" ht="18.75" customHeight="1" x14ac:dyDescent="0.4">
      <c r="A1120" s="3" t="s">
        <v>1074</v>
      </c>
      <c r="B1120" s="3" t="str">
        <f>"安芸郡府中町緑ケ丘16-9"</f>
        <v>安芸郡府中町緑ケ丘16-9</v>
      </c>
      <c r="C1120" s="4">
        <v>46387</v>
      </c>
    </row>
    <row r="1121" spans="1:3" s="1" customFormat="1" ht="18.75" customHeight="1" x14ac:dyDescent="0.4">
      <c r="A1121" s="3" t="s">
        <v>1045</v>
      </c>
      <c r="B1121" s="3" t="str">
        <f>"安芸郡府中町みくまり3-1-11"</f>
        <v>安芸郡府中町みくまり3-1-11</v>
      </c>
      <c r="C1121" s="4">
        <v>46387</v>
      </c>
    </row>
    <row r="1122" spans="1:3" s="1" customFormat="1" ht="18.75" customHeight="1" x14ac:dyDescent="0.4">
      <c r="A1122" s="3" t="s">
        <v>1061</v>
      </c>
      <c r="B1122" s="3" t="str">
        <f>"安芸郡府中町山田1-2-7"</f>
        <v>安芸郡府中町山田1-2-7</v>
      </c>
      <c r="C1122" s="4">
        <v>46752</v>
      </c>
    </row>
    <row r="1123" spans="1:3" s="1" customFormat="1" ht="18.75" customHeight="1" x14ac:dyDescent="0.4">
      <c r="A1123" s="3" t="s">
        <v>536</v>
      </c>
      <c r="B1123" s="3" t="str">
        <f>"安芸郡府中町鹿籠2-13-2"</f>
        <v>安芸郡府中町鹿籠2-13-2</v>
      </c>
      <c r="C1123" s="4">
        <v>46752</v>
      </c>
    </row>
    <row r="1124" spans="1:3" s="1" customFormat="1" ht="18.75" customHeight="1" x14ac:dyDescent="0.4">
      <c r="A1124" s="3" t="s">
        <v>376</v>
      </c>
      <c r="B1124" s="3" t="str">
        <f>"安芸郡府中町鹿籠2-13-6"</f>
        <v>安芸郡府中町鹿籠2-13-6</v>
      </c>
      <c r="C1124" s="4">
        <v>46387</v>
      </c>
    </row>
    <row r="1125" spans="1:3" s="1" customFormat="1" ht="18.75" customHeight="1" x14ac:dyDescent="0.4">
      <c r="A1125" s="3" t="s">
        <v>1053</v>
      </c>
      <c r="B1125" s="3" t="str">
        <f>"安芸郡府中町瀬戸ハイム1-2-24"</f>
        <v>安芸郡府中町瀬戸ハイム1-2-24</v>
      </c>
      <c r="C1125" s="4">
        <v>46387</v>
      </c>
    </row>
    <row r="1126" spans="1:3" s="1" customFormat="1" ht="18.75" customHeight="1" x14ac:dyDescent="0.4">
      <c r="A1126" s="3" t="s">
        <v>1055</v>
      </c>
      <c r="B1126" s="3" t="str">
        <f>"安芸郡府中町青崎中24-26"</f>
        <v>安芸郡府中町青崎中24-26</v>
      </c>
      <c r="C1126" s="4">
        <v>46387</v>
      </c>
    </row>
    <row r="1127" spans="1:3" s="1" customFormat="1" ht="18.75" customHeight="1" x14ac:dyDescent="0.4">
      <c r="A1127" s="3" t="s">
        <v>818</v>
      </c>
      <c r="B1127" s="3" t="str">
        <f>"安芸郡府中町青崎中24-26-2F"</f>
        <v>安芸郡府中町青崎中24-26-2F</v>
      </c>
      <c r="C1127" s="4">
        <v>46387</v>
      </c>
    </row>
    <row r="1128" spans="1:3" s="1" customFormat="1" ht="18.75" customHeight="1" x14ac:dyDescent="0.4">
      <c r="A1128" s="3" t="s">
        <v>1057</v>
      </c>
      <c r="B1128" s="3" t="str">
        <f>"安芸郡府中町青崎中24-26-5F"</f>
        <v>安芸郡府中町青崎中24-26-5F</v>
      </c>
      <c r="C1128" s="4">
        <v>46387</v>
      </c>
    </row>
    <row r="1129" spans="1:3" s="1" customFormat="1" ht="18.75" customHeight="1" x14ac:dyDescent="0.4">
      <c r="A1129" s="3" t="s">
        <v>802</v>
      </c>
      <c r="B1129" s="3" t="str">
        <f>"安芸郡府中町青崎中24-26-6F"</f>
        <v>安芸郡府中町青崎中24-26-6F</v>
      </c>
      <c r="C1129" s="4">
        <v>47483</v>
      </c>
    </row>
    <row r="1130" spans="1:3" s="1" customFormat="1" ht="18.75" customHeight="1" x14ac:dyDescent="0.4">
      <c r="A1130" s="3" t="s">
        <v>1054</v>
      </c>
      <c r="B1130" s="3" t="str">
        <f>"安芸郡府中町青崎東20-2"</f>
        <v>安芸郡府中町青崎東20-2</v>
      </c>
      <c r="C1130" s="4">
        <v>47118</v>
      </c>
    </row>
    <row r="1131" spans="1:3" s="1" customFormat="1" ht="18.75" customHeight="1" x14ac:dyDescent="0.4">
      <c r="A1131" s="3" t="s">
        <v>1043</v>
      </c>
      <c r="B1131" s="3" t="str">
        <f>"安芸郡府中町青崎南2-15"</f>
        <v>安芸郡府中町青崎南2-15</v>
      </c>
      <c r="C1131" s="4">
        <v>46387</v>
      </c>
    </row>
    <row r="1132" spans="1:3" s="1" customFormat="1" ht="18.75" customHeight="1" x14ac:dyDescent="0.4">
      <c r="A1132" s="3" t="s">
        <v>240</v>
      </c>
      <c r="B1132" s="3" t="str">
        <f>"安芸郡府中町大須1-16-2"</f>
        <v>安芸郡府中町大須1-16-2</v>
      </c>
      <c r="C1132" s="4">
        <v>46387</v>
      </c>
    </row>
    <row r="1133" spans="1:3" s="1" customFormat="1" ht="18.75" customHeight="1" x14ac:dyDescent="0.4">
      <c r="A1133" s="3" t="s">
        <v>1035</v>
      </c>
      <c r="B1133" s="3" t="str">
        <f>"安芸郡府中町大須1-17-22"</f>
        <v>安芸郡府中町大須1-17-22</v>
      </c>
      <c r="C1133" s="4">
        <v>46387</v>
      </c>
    </row>
    <row r="1134" spans="1:3" s="1" customFormat="1" ht="18.75" customHeight="1" x14ac:dyDescent="0.4">
      <c r="A1134" s="3" t="s">
        <v>1003</v>
      </c>
      <c r="B1134" s="3" t="str">
        <f>"安芸郡府中町大須1-19-19"</f>
        <v>安芸郡府中町大須1-19-19</v>
      </c>
      <c r="C1134" s="4">
        <v>46387</v>
      </c>
    </row>
    <row r="1135" spans="1:3" s="1" customFormat="1" ht="18.75" customHeight="1" x14ac:dyDescent="0.4">
      <c r="A1135" s="3" t="s">
        <v>283</v>
      </c>
      <c r="B1135" s="3" t="str">
        <f>"安芸郡府中町大須2-1-1-2015"</f>
        <v>安芸郡府中町大須2-1-1-2015</v>
      </c>
      <c r="C1135" s="4">
        <v>46387</v>
      </c>
    </row>
    <row r="1136" spans="1:3" s="1" customFormat="1" ht="18.75" customHeight="1" x14ac:dyDescent="0.4">
      <c r="A1136" s="3" t="s">
        <v>0</v>
      </c>
      <c r="B1136" s="3" t="str">
        <f>"安芸郡府中町大須3-8-56"</f>
        <v>安芸郡府中町大須3-8-56</v>
      </c>
      <c r="C1136" s="4">
        <v>46022</v>
      </c>
    </row>
    <row r="1137" spans="1:3" s="1" customFormat="1" ht="18.75" customHeight="1" x14ac:dyDescent="0.4">
      <c r="A1137" s="3" t="s">
        <v>128</v>
      </c>
      <c r="B1137" s="3" t="str">
        <f>"安芸郡府中町大通2-10-8"</f>
        <v>安芸郡府中町大通2-10-8</v>
      </c>
      <c r="C1137" s="4">
        <v>46387</v>
      </c>
    </row>
    <row r="1138" spans="1:3" s="1" customFormat="1" ht="18.75" customHeight="1" x14ac:dyDescent="0.4">
      <c r="A1138" s="3" t="s">
        <v>384</v>
      </c>
      <c r="B1138" s="3" t="str">
        <f>"安芸郡府中町大通2-8-21-2F"</f>
        <v>安芸郡府中町大通2-8-21-2F</v>
      </c>
      <c r="C1138" s="4">
        <v>46387</v>
      </c>
    </row>
    <row r="1139" spans="1:3" s="1" customFormat="1" ht="18.75" customHeight="1" x14ac:dyDescent="0.4">
      <c r="A1139" s="3" t="s">
        <v>242</v>
      </c>
      <c r="B1139" s="3" t="str">
        <f>"安芸郡府中町大通2-8-21-4F"</f>
        <v>安芸郡府中町大通2-8-21-4F</v>
      </c>
      <c r="C1139" s="4">
        <v>46387</v>
      </c>
    </row>
    <row r="1140" spans="1:3" s="1" customFormat="1" ht="18.75" customHeight="1" x14ac:dyDescent="0.4">
      <c r="A1140" s="3" t="s">
        <v>1049</v>
      </c>
      <c r="B1140" s="3" t="str">
        <f>"安芸郡府中町鶴江1-25-20"</f>
        <v>安芸郡府中町鶴江1-25-20</v>
      </c>
      <c r="C1140" s="4">
        <v>46387</v>
      </c>
    </row>
    <row r="1141" spans="1:3" s="1" customFormat="1" ht="18.75" customHeight="1" x14ac:dyDescent="0.4">
      <c r="A1141" s="3" t="s">
        <v>418</v>
      </c>
      <c r="B1141" s="3" t="str">
        <f>"安芸郡府中町鶴江1-25-20"</f>
        <v>安芸郡府中町鶴江1-25-20</v>
      </c>
      <c r="C1141" s="4">
        <v>47483</v>
      </c>
    </row>
    <row r="1142" spans="1:3" s="1" customFormat="1" ht="18.75" customHeight="1" x14ac:dyDescent="0.4">
      <c r="A1142" s="3" t="s">
        <v>445</v>
      </c>
      <c r="B1142" s="3" t="str">
        <f>"安芸郡府中町桃山1-1-24"</f>
        <v>安芸郡府中町桃山1-1-24</v>
      </c>
      <c r="C1142" s="4">
        <v>46387</v>
      </c>
    </row>
    <row r="1143" spans="1:3" s="1" customFormat="1" ht="18.75" customHeight="1" x14ac:dyDescent="0.4">
      <c r="A1143" s="3" t="s">
        <v>459</v>
      </c>
      <c r="B1143" s="3" t="str">
        <f>"安芸郡府中町桃山1-4-18-2F"</f>
        <v>安芸郡府中町桃山1-4-18-2F</v>
      </c>
      <c r="C1143" s="4">
        <v>46752</v>
      </c>
    </row>
    <row r="1144" spans="1:3" s="1" customFormat="1" ht="18.75" customHeight="1" x14ac:dyDescent="0.4">
      <c r="A1144" s="3" t="s">
        <v>1064</v>
      </c>
      <c r="B1144" s="3" t="str">
        <f>"安芸郡府中町桃山1-4-18-3F"</f>
        <v>安芸郡府中町桃山1-4-18-3F</v>
      </c>
      <c r="C1144" s="4">
        <v>47483</v>
      </c>
    </row>
    <row r="1145" spans="1:3" s="1" customFormat="1" ht="18.75" customHeight="1" x14ac:dyDescent="0.4">
      <c r="A1145" s="3" t="s">
        <v>932</v>
      </c>
      <c r="B1145" s="3" t="str">
        <f>"安芸郡府中町浜田3-9-3"</f>
        <v>安芸郡府中町浜田3-9-3</v>
      </c>
      <c r="C1145" s="4">
        <v>46387</v>
      </c>
    </row>
    <row r="1146" spans="1:3" s="1" customFormat="1" ht="18.75" customHeight="1" x14ac:dyDescent="0.4">
      <c r="A1146" s="3" t="s">
        <v>1046</v>
      </c>
      <c r="B1146" s="3" t="str">
        <f>"安芸郡府中町浜田本町7-1"</f>
        <v>安芸郡府中町浜田本町7-1</v>
      </c>
      <c r="C1146" s="4">
        <v>47118</v>
      </c>
    </row>
    <row r="1147" spans="1:3" s="1" customFormat="1" ht="18.75" customHeight="1" x14ac:dyDescent="0.4">
      <c r="A1147" s="3" t="s">
        <v>424</v>
      </c>
      <c r="B1147" s="3" t="str">
        <f>"安芸郡府中町本町2-5-13"</f>
        <v>安芸郡府中町本町2-5-13</v>
      </c>
      <c r="C1147" s="4">
        <v>47483</v>
      </c>
    </row>
    <row r="1148" spans="1:3" s="1" customFormat="1" ht="18.75" customHeight="1" x14ac:dyDescent="0.4">
      <c r="A1148" s="3" t="s">
        <v>544</v>
      </c>
      <c r="B1148" s="3" t="str">
        <f>"安芸郡府中町本町5-1-6"</f>
        <v>安芸郡府中町本町5-1-6</v>
      </c>
      <c r="C1148" s="4">
        <v>46387</v>
      </c>
    </row>
    <row r="1149" spans="1:3" s="1" customFormat="1" ht="18.75" customHeight="1" x14ac:dyDescent="0.4">
      <c r="A1149" s="3" t="s">
        <v>357</v>
      </c>
      <c r="B1149" s="3" t="str">
        <f>"安芸郡府中町茂陰1-1-1"</f>
        <v>安芸郡府中町茂陰1-1-1</v>
      </c>
      <c r="C1149" s="4">
        <v>47118</v>
      </c>
    </row>
    <row r="1150" spans="1:3" s="1" customFormat="1" ht="18.75" customHeight="1" x14ac:dyDescent="0.4">
      <c r="A1150" s="3" t="s">
        <v>1062</v>
      </c>
      <c r="B1150" s="3" t="str">
        <f>"安芸郡府中町柳ケ丘40-12-2F"</f>
        <v>安芸郡府中町柳ケ丘40-12-2F</v>
      </c>
      <c r="C1150" s="4">
        <v>46387</v>
      </c>
    </row>
    <row r="1151" spans="1:3" s="1" customFormat="1" ht="18.75" customHeight="1" x14ac:dyDescent="0.4">
      <c r="A1151" s="3" t="s">
        <v>444</v>
      </c>
      <c r="B1151" s="3" t="str">
        <f>"安芸郡海田町稲荷町9-16"</f>
        <v>安芸郡海田町稲荷町9-16</v>
      </c>
      <c r="C1151" s="4">
        <v>46752</v>
      </c>
    </row>
    <row r="1152" spans="1:3" s="1" customFormat="1" ht="18.75" customHeight="1" x14ac:dyDescent="0.4">
      <c r="A1152" s="3" t="s">
        <v>119</v>
      </c>
      <c r="B1152" s="3" t="str">
        <f>"安芸郡海田町稲葉11-10"</f>
        <v>安芸郡海田町稲葉11-10</v>
      </c>
      <c r="C1152" s="4">
        <v>46387</v>
      </c>
    </row>
    <row r="1153" spans="1:3" s="1" customFormat="1" ht="18.75" customHeight="1" x14ac:dyDescent="0.4">
      <c r="A1153" s="3" t="s">
        <v>1293</v>
      </c>
      <c r="B1153" s="3" t="str">
        <f>"安芸郡海田町国信1-1-24"</f>
        <v>安芸郡海田町国信1-1-24</v>
      </c>
      <c r="C1153" s="4">
        <v>46387</v>
      </c>
    </row>
    <row r="1154" spans="1:3" s="1" customFormat="1" ht="18.75" customHeight="1" x14ac:dyDescent="0.4">
      <c r="A1154" s="3" t="s">
        <v>1294</v>
      </c>
      <c r="B1154" s="3" t="str">
        <f>"安芸郡海田町昭和中町2-21"</f>
        <v>安芸郡海田町昭和中町2-21</v>
      </c>
      <c r="C1154" s="4">
        <v>46387</v>
      </c>
    </row>
    <row r="1155" spans="1:3" s="1" customFormat="1" ht="18.75" customHeight="1" x14ac:dyDescent="0.4">
      <c r="A1155" s="3" t="s">
        <v>347</v>
      </c>
      <c r="B1155" s="3" t="str">
        <f>"安芸郡海田町昭和中町2-38"</f>
        <v>安芸郡海田町昭和中町2-38</v>
      </c>
      <c r="C1155" s="4">
        <v>46387</v>
      </c>
    </row>
    <row r="1156" spans="1:3" s="1" customFormat="1" ht="18.75" customHeight="1" x14ac:dyDescent="0.4">
      <c r="A1156" s="3" t="s">
        <v>634</v>
      </c>
      <c r="B1156" s="3" t="str">
        <f>"安芸郡海田町成本11-27-102"</f>
        <v>安芸郡海田町成本11-27-102</v>
      </c>
      <c r="C1156" s="4">
        <v>46387</v>
      </c>
    </row>
    <row r="1157" spans="1:3" s="1" customFormat="1" ht="18.75" customHeight="1" x14ac:dyDescent="0.4">
      <c r="A1157" s="3" t="s">
        <v>23</v>
      </c>
      <c r="B1157" s="3" t="str">
        <f>"安芸郡海田町南昭和町13-9"</f>
        <v>安芸郡海田町南昭和町13-9</v>
      </c>
      <c r="C1157" s="4">
        <v>47848</v>
      </c>
    </row>
    <row r="1158" spans="1:3" s="1" customFormat="1" ht="18.75" customHeight="1" x14ac:dyDescent="0.4">
      <c r="A1158" s="3" t="s">
        <v>1214</v>
      </c>
      <c r="B1158" s="3" t="str">
        <f>"安芸郡海田町南昭和町9-22"</f>
        <v>安芸郡海田町南昭和町9-22</v>
      </c>
      <c r="C1158" s="4">
        <v>46387</v>
      </c>
    </row>
    <row r="1159" spans="1:3" s="1" customFormat="1" ht="18.75" customHeight="1" x14ac:dyDescent="0.4">
      <c r="A1159" s="3" t="s">
        <v>348</v>
      </c>
      <c r="B1159" s="3" t="str">
        <f>"安芸郡海田町稲荷町3-34"</f>
        <v>安芸郡海田町稲荷町3-34</v>
      </c>
      <c r="C1159" s="4">
        <v>47118</v>
      </c>
    </row>
    <row r="1160" spans="1:3" s="1" customFormat="1" ht="18.75" customHeight="1" x14ac:dyDescent="0.4">
      <c r="A1160" s="3" t="s">
        <v>65</v>
      </c>
      <c r="B1160" s="3" t="str">
        <f>"安芸郡海田町栄町2-42"</f>
        <v>安芸郡海田町栄町2-42</v>
      </c>
      <c r="C1160" s="4">
        <v>46752</v>
      </c>
    </row>
    <row r="1161" spans="1:3" s="1" customFormat="1" ht="18.75" customHeight="1" x14ac:dyDescent="0.4">
      <c r="A1161" s="3" t="s">
        <v>860</v>
      </c>
      <c r="B1161" s="3" t="str">
        <f>"安芸郡海田町栄町5-32"</f>
        <v>安芸郡海田町栄町5-32</v>
      </c>
      <c r="C1161" s="4">
        <v>47483</v>
      </c>
    </row>
    <row r="1162" spans="1:3" s="1" customFormat="1" ht="18.75" customHeight="1" x14ac:dyDescent="0.4">
      <c r="A1162" s="3" t="s">
        <v>1048</v>
      </c>
      <c r="B1162" s="3" t="str">
        <f>"安芸郡海田町蟹原1-13-11"</f>
        <v>安芸郡海田町蟹原1-13-11</v>
      </c>
      <c r="C1162" s="4">
        <v>46387</v>
      </c>
    </row>
    <row r="1163" spans="1:3" s="1" customFormat="1" ht="18.75" customHeight="1" x14ac:dyDescent="0.4">
      <c r="A1163" s="3" t="s">
        <v>1047</v>
      </c>
      <c r="B1163" s="3" t="str">
        <f>"安芸郡海田町窪町10-18"</f>
        <v>安芸郡海田町窪町10-18</v>
      </c>
      <c r="C1163" s="4">
        <v>46387</v>
      </c>
    </row>
    <row r="1164" spans="1:3" s="1" customFormat="1" ht="18.75" customHeight="1" x14ac:dyDescent="0.4">
      <c r="A1164" s="3" t="s">
        <v>1060</v>
      </c>
      <c r="B1164" s="3" t="str">
        <f>"安芸郡海田町窪町1-23"</f>
        <v>安芸郡海田町窪町1-23</v>
      </c>
      <c r="C1164" s="4">
        <v>47848</v>
      </c>
    </row>
    <row r="1165" spans="1:3" s="1" customFormat="1" ht="18.75" customHeight="1" x14ac:dyDescent="0.4">
      <c r="A1165" s="3" t="s">
        <v>917</v>
      </c>
      <c r="B1165" s="3" t="str">
        <f>"安芸郡海田町窪町1-23-2F"</f>
        <v>安芸郡海田町窪町1-23-2F</v>
      </c>
      <c r="C1165" s="4">
        <v>46022</v>
      </c>
    </row>
    <row r="1166" spans="1:3" s="1" customFormat="1" ht="18.75" customHeight="1" x14ac:dyDescent="0.4">
      <c r="A1166" s="3" t="s">
        <v>805</v>
      </c>
      <c r="B1166" s="3" t="str">
        <f>"安芸郡海田町窪町1-23-2F"</f>
        <v>安芸郡海田町窪町1-23-2F</v>
      </c>
      <c r="C1166" s="4">
        <v>47483</v>
      </c>
    </row>
    <row r="1167" spans="1:3" s="1" customFormat="1" ht="18.75" customHeight="1" x14ac:dyDescent="0.4">
      <c r="A1167" s="3" t="s">
        <v>750</v>
      </c>
      <c r="B1167" s="3" t="str">
        <f>"安芸郡海田町窪町2-14"</f>
        <v>安芸郡海田町窪町2-14</v>
      </c>
      <c r="C1167" s="4">
        <v>47118</v>
      </c>
    </row>
    <row r="1168" spans="1:3" s="1" customFormat="1" ht="18.75" customHeight="1" x14ac:dyDescent="0.4">
      <c r="A1168" s="3" t="s">
        <v>646</v>
      </c>
      <c r="B1168" s="3" t="str">
        <f>"安芸郡海田町幸町8-14-3"</f>
        <v>安芸郡海田町幸町8-14-3</v>
      </c>
      <c r="C1168" s="4">
        <v>46752</v>
      </c>
    </row>
    <row r="1169" spans="1:3" s="1" customFormat="1" ht="18.75" customHeight="1" x14ac:dyDescent="0.4">
      <c r="A1169" s="3" t="s">
        <v>1058</v>
      </c>
      <c r="B1169" s="3" t="str">
        <f>"安芸郡海田町幸町9-13"</f>
        <v>安芸郡海田町幸町9-13</v>
      </c>
      <c r="C1169" s="4">
        <v>47118</v>
      </c>
    </row>
    <row r="1170" spans="1:3" s="1" customFormat="1" ht="18.75" customHeight="1" x14ac:dyDescent="0.4">
      <c r="A1170" s="3" t="s">
        <v>204</v>
      </c>
      <c r="B1170" s="3" t="str">
        <f>"安芸郡海田町新町11-20"</f>
        <v>安芸郡海田町新町11-20</v>
      </c>
      <c r="C1170" s="4">
        <v>46387</v>
      </c>
    </row>
    <row r="1171" spans="1:3" s="1" customFormat="1" ht="18.75" customHeight="1" x14ac:dyDescent="0.4">
      <c r="A1171" s="3" t="s">
        <v>884</v>
      </c>
      <c r="B1171" s="3" t="str">
        <f>"安芸郡海田町新町17-8"</f>
        <v>安芸郡海田町新町17-8</v>
      </c>
      <c r="C1171" s="4">
        <v>46387</v>
      </c>
    </row>
    <row r="1172" spans="1:3" s="1" customFormat="1" ht="18.75" customHeight="1" x14ac:dyDescent="0.4">
      <c r="A1172" s="3" t="s">
        <v>324</v>
      </c>
      <c r="B1172" s="3" t="str">
        <f>"安芸郡海田町成本14-12"</f>
        <v>安芸郡海田町成本14-12</v>
      </c>
      <c r="C1172" s="4">
        <v>47118</v>
      </c>
    </row>
    <row r="1173" spans="1:3" s="1" customFormat="1" ht="18.75" customHeight="1" x14ac:dyDescent="0.4">
      <c r="A1173" s="3" t="s">
        <v>1051</v>
      </c>
      <c r="B1173" s="3" t="str">
        <f>"安芸郡海田町西浜4-22-4"</f>
        <v>安芸郡海田町西浜4-22-4</v>
      </c>
      <c r="C1173" s="4">
        <v>46387</v>
      </c>
    </row>
    <row r="1174" spans="1:3" s="1" customFormat="1" ht="18.75" customHeight="1" x14ac:dyDescent="0.4">
      <c r="A1174" s="3" t="s">
        <v>712</v>
      </c>
      <c r="B1174" s="3" t="str">
        <f>"安芸郡海田町西浜4-22-4"</f>
        <v>安芸郡海田町西浜4-22-4</v>
      </c>
      <c r="C1174" s="4">
        <v>46387</v>
      </c>
    </row>
    <row r="1175" spans="1:3" s="1" customFormat="1" ht="18.75" customHeight="1" x14ac:dyDescent="0.4">
      <c r="A1175" s="3" t="s">
        <v>1056</v>
      </c>
      <c r="B1175" s="3" t="str">
        <f>"安芸郡海田町南幸町9-43"</f>
        <v>安芸郡海田町南幸町9-43</v>
      </c>
      <c r="C1175" s="4">
        <v>46387</v>
      </c>
    </row>
    <row r="1176" spans="1:3" s="1" customFormat="1" ht="18.75" customHeight="1" x14ac:dyDescent="0.4">
      <c r="A1176" s="3" t="s">
        <v>145</v>
      </c>
      <c r="B1176" s="3" t="str">
        <f>"安芸郡海田町南大正町3-25"</f>
        <v>安芸郡海田町南大正町3-25</v>
      </c>
      <c r="C1176" s="4">
        <v>47118</v>
      </c>
    </row>
    <row r="1177" spans="1:3" s="1" customFormat="1" ht="18.75" customHeight="1" x14ac:dyDescent="0.4">
      <c r="A1177" s="3" t="s">
        <v>760</v>
      </c>
      <c r="B1177" s="3" t="str">
        <f>"安芸郡海田町南大正町3-25"</f>
        <v>安芸郡海田町南大正町3-25</v>
      </c>
      <c r="C1177" s="4">
        <v>47483</v>
      </c>
    </row>
    <row r="1178" spans="1:3" s="1" customFormat="1" ht="18.75" customHeight="1" x14ac:dyDescent="0.4">
      <c r="A1178" s="3" t="s">
        <v>886</v>
      </c>
      <c r="B1178" s="3" t="str">
        <f>"安芸郡海田町日の出町6-6"</f>
        <v>安芸郡海田町日の出町6-6</v>
      </c>
      <c r="C1178" s="4">
        <v>47118</v>
      </c>
    </row>
    <row r="1179" spans="1:3" s="1" customFormat="1" ht="18.75" customHeight="1" x14ac:dyDescent="0.4">
      <c r="A1179" s="3" t="s">
        <v>1021</v>
      </c>
      <c r="B1179" s="3" t="str">
        <f>"安芸郡海田町堀川町2-23"</f>
        <v>安芸郡海田町堀川町2-23</v>
      </c>
      <c r="C1179" s="4">
        <v>46387</v>
      </c>
    </row>
    <row r="1180" spans="1:3" s="1" customFormat="1" ht="18.75" customHeight="1" x14ac:dyDescent="0.4">
      <c r="A1180" s="3" t="s">
        <v>572</v>
      </c>
      <c r="B1180" s="3" t="str">
        <f>"安芸郡熊野町荻原7-14-19"</f>
        <v>安芸郡熊野町荻原7-14-19</v>
      </c>
      <c r="C1180" s="4">
        <v>46387</v>
      </c>
    </row>
    <row r="1181" spans="1:3" s="1" customFormat="1" ht="18.75" customHeight="1" x14ac:dyDescent="0.4">
      <c r="A1181" s="3" t="s">
        <v>1158</v>
      </c>
      <c r="B1181" s="3" t="str">
        <f>"安芸郡熊野町平谷1-15-8"</f>
        <v>安芸郡熊野町平谷1-15-8</v>
      </c>
      <c r="C1181" s="4">
        <v>46387</v>
      </c>
    </row>
    <row r="1182" spans="1:3" s="1" customFormat="1" ht="18.75" customHeight="1" x14ac:dyDescent="0.4">
      <c r="A1182" s="3" t="s">
        <v>916</v>
      </c>
      <c r="B1182" s="3" t="str">
        <f>"安芸郡熊野町貴船18-16"</f>
        <v>安芸郡熊野町貴船18-16</v>
      </c>
      <c r="C1182" s="4">
        <v>47118</v>
      </c>
    </row>
    <row r="1183" spans="1:3" s="1" customFormat="1" ht="18.75" customHeight="1" x14ac:dyDescent="0.4">
      <c r="A1183" s="3" t="s">
        <v>519</v>
      </c>
      <c r="B1183" s="3" t="str">
        <f>"安芸郡熊野町出来庭10-4-4"</f>
        <v>安芸郡熊野町出来庭10-4-4</v>
      </c>
      <c r="C1183" s="4">
        <v>46387</v>
      </c>
    </row>
    <row r="1184" spans="1:3" s="1" customFormat="1" ht="18.75" customHeight="1" x14ac:dyDescent="0.4">
      <c r="A1184" s="3" t="s">
        <v>1042</v>
      </c>
      <c r="B1184" s="3" t="str">
        <f>"安芸郡熊野町出来庭3-3-33"</f>
        <v>安芸郡熊野町出来庭3-3-33</v>
      </c>
      <c r="C1184" s="4">
        <v>47483</v>
      </c>
    </row>
    <row r="1185" spans="1:3" s="1" customFormat="1" ht="18.75" customHeight="1" x14ac:dyDescent="0.4">
      <c r="A1185" s="3" t="s">
        <v>1038</v>
      </c>
      <c r="B1185" s="3" t="str">
        <f>"安芸郡熊野町川角4-30-1"</f>
        <v>安芸郡熊野町川角4-30-1</v>
      </c>
      <c r="C1185" s="4">
        <v>46387</v>
      </c>
    </row>
    <row r="1186" spans="1:3" s="1" customFormat="1" ht="18.75" customHeight="1" x14ac:dyDescent="0.4">
      <c r="A1186" s="3" t="s">
        <v>1041</v>
      </c>
      <c r="B1186" s="3" t="str">
        <f>"安芸郡熊野町萩原2-2-12"</f>
        <v>安芸郡熊野町萩原2-2-12</v>
      </c>
      <c r="C1186" s="4">
        <v>46387</v>
      </c>
    </row>
    <row r="1187" spans="1:3" s="1" customFormat="1" ht="18.75" customHeight="1" x14ac:dyDescent="0.4">
      <c r="A1187" s="3" t="s">
        <v>1037</v>
      </c>
      <c r="B1187" s="3" t="str">
        <f>"安芸郡熊野町萩原2-2-8"</f>
        <v>安芸郡熊野町萩原2-2-8</v>
      </c>
      <c r="C1187" s="4">
        <v>46387</v>
      </c>
    </row>
    <row r="1188" spans="1:3" s="1" customFormat="1" ht="18.75" customHeight="1" x14ac:dyDescent="0.4">
      <c r="A1188" s="3" t="s">
        <v>1039</v>
      </c>
      <c r="B1188" s="3" t="str">
        <f>"安芸郡熊野町萩原5-1-55"</f>
        <v>安芸郡熊野町萩原5-1-55</v>
      </c>
      <c r="C1188" s="4">
        <v>46387</v>
      </c>
    </row>
    <row r="1189" spans="1:3" s="1" customFormat="1" ht="18.75" customHeight="1" x14ac:dyDescent="0.4">
      <c r="A1189" s="3" t="s">
        <v>652</v>
      </c>
      <c r="B1189" s="3" t="str">
        <f>"安芸郡坂町坂西1-23-8"</f>
        <v>安芸郡坂町坂西1-23-8</v>
      </c>
      <c r="C1189" s="4">
        <v>46387</v>
      </c>
    </row>
    <row r="1190" spans="1:3" s="1" customFormat="1" ht="18.75" customHeight="1" x14ac:dyDescent="0.4">
      <c r="A1190" s="3" t="s">
        <v>465</v>
      </c>
      <c r="B1190" s="3" t="str">
        <f>"安芸郡坂町坂西1-4-10"</f>
        <v>安芸郡坂町坂西1-4-10</v>
      </c>
      <c r="C1190" s="4">
        <v>46387</v>
      </c>
    </row>
    <row r="1191" spans="1:3" s="1" customFormat="1" ht="18.75" customHeight="1" x14ac:dyDescent="0.4">
      <c r="A1191" s="3" t="s">
        <v>101</v>
      </c>
      <c r="B1191" s="3" t="str">
        <f>"安芸郡坂町平成ケ浜1-8-33"</f>
        <v>安芸郡坂町平成ケ浜1-8-33</v>
      </c>
      <c r="C1191" s="4">
        <v>46387</v>
      </c>
    </row>
    <row r="1192" spans="1:3" s="1" customFormat="1" ht="18.75" customHeight="1" x14ac:dyDescent="0.4">
      <c r="A1192" s="3" t="s">
        <v>787</v>
      </c>
      <c r="B1192" s="3" t="str">
        <f>"安芸郡坂町北新地2-3-10"</f>
        <v>安芸郡坂町北新地2-3-10</v>
      </c>
      <c r="C1192" s="4">
        <v>46387</v>
      </c>
    </row>
    <row r="1193" spans="1:3" s="1" customFormat="1" ht="18.75" customHeight="1" x14ac:dyDescent="0.4">
      <c r="A1193" s="3" t="s">
        <v>1308</v>
      </c>
      <c r="B1193" s="3" t="str">
        <f>"山県郡安芸太田町加計3537-4"</f>
        <v>山県郡安芸太田町加計3537-4</v>
      </c>
      <c r="C1193" s="4">
        <v>46387</v>
      </c>
    </row>
    <row r="1194" spans="1:3" s="1" customFormat="1" ht="18.75" customHeight="1" x14ac:dyDescent="0.4">
      <c r="A1194" s="3" t="s">
        <v>1309</v>
      </c>
      <c r="B1194" s="3" t="str">
        <f>"山県郡安芸太田町戸河内314-1"</f>
        <v>山県郡安芸太田町戸河内314-1</v>
      </c>
      <c r="C1194" s="4">
        <v>46387</v>
      </c>
    </row>
    <row r="1195" spans="1:3" s="1" customFormat="1" ht="18.75" customHeight="1" x14ac:dyDescent="0.4">
      <c r="A1195" s="3" t="s">
        <v>1306</v>
      </c>
      <c r="B1195" s="3" t="str">
        <f>"山県郡安芸太田町上殿1862-1"</f>
        <v>山県郡安芸太田町上殿1862-1</v>
      </c>
      <c r="C1195" s="4">
        <v>46387</v>
      </c>
    </row>
    <row r="1196" spans="1:3" s="1" customFormat="1" ht="18.75" customHeight="1" x14ac:dyDescent="0.4">
      <c r="A1196" s="3" t="s">
        <v>57</v>
      </c>
      <c r="B1196" s="3" t="s">
        <v>1078</v>
      </c>
      <c r="C1196" s="4">
        <v>46387</v>
      </c>
    </row>
    <row r="1197" spans="1:3" s="1" customFormat="1" ht="18.75" customHeight="1" x14ac:dyDescent="0.4">
      <c r="A1197" s="3" t="s">
        <v>313</v>
      </c>
      <c r="B1197" s="3" t="s">
        <v>1078</v>
      </c>
      <c r="C1197" s="4">
        <v>47118</v>
      </c>
    </row>
    <row r="1198" spans="1:3" s="1" customFormat="1" ht="18.75" customHeight="1" x14ac:dyDescent="0.4">
      <c r="A1198" s="3" t="s">
        <v>310</v>
      </c>
      <c r="B1198" s="3" t="str">
        <f>"山県郡安芸太田町戸河内800-1"</f>
        <v>山県郡安芸太田町戸河内800-1</v>
      </c>
      <c r="C1198" s="4">
        <v>46387</v>
      </c>
    </row>
    <row r="1199" spans="1:3" s="1" customFormat="1" ht="18.75" customHeight="1" x14ac:dyDescent="0.4">
      <c r="A1199" s="3" t="s">
        <v>1246</v>
      </c>
      <c r="B1199" s="3" t="str">
        <f>"山県郡北広島町阿坂4448-1"</f>
        <v>山県郡北広島町阿坂4448-1</v>
      </c>
      <c r="C1199" s="4">
        <v>46387</v>
      </c>
    </row>
    <row r="1200" spans="1:3" s="1" customFormat="1" ht="18.75" customHeight="1" x14ac:dyDescent="0.4">
      <c r="A1200" s="3" t="s">
        <v>1297</v>
      </c>
      <c r="B1200" s="3" t="s">
        <v>1307</v>
      </c>
      <c r="C1200" s="4">
        <v>46387</v>
      </c>
    </row>
    <row r="1201" spans="1:3" s="1" customFormat="1" ht="18.75" customHeight="1" x14ac:dyDescent="0.4">
      <c r="A1201" s="3" t="s">
        <v>1310</v>
      </c>
      <c r="B1201" s="3" t="str">
        <f>"山県郡北広島町大朝4523-1"</f>
        <v>山県郡北広島町大朝4523-1</v>
      </c>
      <c r="C1201" s="4">
        <v>46387</v>
      </c>
    </row>
    <row r="1202" spans="1:3" s="1" customFormat="1" ht="18.75" customHeight="1" x14ac:dyDescent="0.4">
      <c r="A1202" s="3" t="s">
        <v>1088</v>
      </c>
      <c r="B1202" s="3" t="s">
        <v>1089</v>
      </c>
      <c r="C1202" s="4">
        <v>47848</v>
      </c>
    </row>
    <row r="1203" spans="1:3" s="1" customFormat="1" ht="18.75" customHeight="1" x14ac:dyDescent="0.4">
      <c r="A1203" s="3" t="s">
        <v>1079</v>
      </c>
      <c r="B1203" s="3" t="s">
        <v>1080</v>
      </c>
      <c r="C1203" s="4">
        <v>46387</v>
      </c>
    </row>
    <row r="1204" spans="1:3" s="1" customFormat="1" ht="18.75" customHeight="1" x14ac:dyDescent="0.4">
      <c r="A1204" s="3" t="s">
        <v>1082</v>
      </c>
      <c r="B1204" s="3" t="s">
        <v>1083</v>
      </c>
      <c r="C1204" s="4">
        <v>46387</v>
      </c>
    </row>
    <row r="1205" spans="1:3" s="1" customFormat="1" ht="18.75" customHeight="1" x14ac:dyDescent="0.4">
      <c r="A1205" s="3" t="s">
        <v>1085</v>
      </c>
      <c r="B1205" s="3" t="str">
        <f>"山県郡北広島町新庄2147-1"</f>
        <v>山県郡北広島町新庄2147-1</v>
      </c>
      <c r="C1205" s="4">
        <v>46387</v>
      </c>
    </row>
    <row r="1206" spans="1:3" s="1" customFormat="1" ht="18.75" customHeight="1" x14ac:dyDescent="0.4">
      <c r="A1206" s="3" t="s">
        <v>342</v>
      </c>
      <c r="B1206" s="3" t="str">
        <f>"山県郡北広島町壬生144-1"</f>
        <v>山県郡北広島町壬生144-1</v>
      </c>
      <c r="C1206" s="4">
        <v>46387</v>
      </c>
    </row>
    <row r="1207" spans="1:3" s="1" customFormat="1" ht="18.75" customHeight="1" x14ac:dyDescent="0.4">
      <c r="A1207" s="3" t="s">
        <v>1008</v>
      </c>
      <c r="B1207" s="3" t="str">
        <f>"山県郡北広島町壬生433-4"</f>
        <v>山県郡北広島町壬生433-4</v>
      </c>
      <c r="C1207" s="4">
        <v>46387</v>
      </c>
    </row>
    <row r="1208" spans="1:3" s="1" customFormat="1" ht="18.75" customHeight="1" x14ac:dyDescent="0.4">
      <c r="A1208" s="3" t="s">
        <v>198</v>
      </c>
      <c r="B1208" s="3" t="str">
        <f>"山県郡北広島町西八幡原1453-13"</f>
        <v>山県郡北広島町西八幡原1453-13</v>
      </c>
      <c r="C1208" s="4">
        <v>46387</v>
      </c>
    </row>
    <row r="1209" spans="1:3" s="1" customFormat="1" ht="18.75" customHeight="1" x14ac:dyDescent="0.4">
      <c r="A1209" s="3" t="s">
        <v>896</v>
      </c>
      <c r="B1209" s="3" t="str">
        <f>"山県郡北広島町蔵迫665-1"</f>
        <v>山県郡北広島町蔵迫665-1</v>
      </c>
      <c r="C1209" s="4">
        <v>47483</v>
      </c>
    </row>
    <row r="1210" spans="1:3" s="1" customFormat="1" ht="18.75" customHeight="1" x14ac:dyDescent="0.4">
      <c r="A1210" s="3" t="s">
        <v>1084</v>
      </c>
      <c r="B1210" s="3" t="s">
        <v>446</v>
      </c>
      <c r="C1210" s="4">
        <v>46387</v>
      </c>
    </row>
    <row r="1211" spans="1:3" s="1" customFormat="1" ht="18.75" customHeight="1" x14ac:dyDescent="0.4">
      <c r="A1211" s="3" t="s">
        <v>671</v>
      </c>
      <c r="B1211" s="3" t="s">
        <v>1086</v>
      </c>
      <c r="C1211" s="4">
        <v>47118</v>
      </c>
    </row>
    <row r="1212" spans="1:3" s="1" customFormat="1" ht="18.75" customHeight="1" x14ac:dyDescent="0.4">
      <c r="A1212" s="3" t="s">
        <v>138</v>
      </c>
      <c r="B1212" s="3" t="s">
        <v>1319</v>
      </c>
      <c r="C1212" s="4">
        <v>46387</v>
      </c>
    </row>
    <row r="1213" spans="1:3" s="1" customFormat="1" ht="18.75" customHeight="1" x14ac:dyDescent="0.4">
      <c r="A1213" s="3" t="s">
        <v>74</v>
      </c>
      <c r="B1213" s="3" t="s">
        <v>725</v>
      </c>
      <c r="C1213" s="4">
        <v>46387</v>
      </c>
    </row>
    <row r="1214" spans="1:3" s="1" customFormat="1" ht="18.75" customHeight="1" x14ac:dyDescent="0.4">
      <c r="A1214" s="3" t="s">
        <v>1113</v>
      </c>
      <c r="B1214" s="3" t="str">
        <f>"豊田郡大崎上島町中野1608-5"</f>
        <v>豊田郡大崎上島町中野1608-5</v>
      </c>
      <c r="C1214" s="4">
        <v>46752</v>
      </c>
    </row>
    <row r="1215" spans="1:3" s="1" customFormat="1" ht="18.75" customHeight="1" x14ac:dyDescent="0.4">
      <c r="A1215" s="3" t="s">
        <v>1111</v>
      </c>
      <c r="B1215" s="3" t="s">
        <v>1112</v>
      </c>
      <c r="C1215" s="4">
        <v>46387</v>
      </c>
    </row>
    <row r="1216" spans="1:3" s="1" customFormat="1" ht="18.75" customHeight="1" x14ac:dyDescent="0.4">
      <c r="A1216" s="3" t="s">
        <v>83</v>
      </c>
      <c r="B1216" s="3" t="str">
        <f>"世羅郡世羅町小国3319-4"</f>
        <v>世羅郡世羅町小国3319-4</v>
      </c>
      <c r="C1216" s="4">
        <v>46387</v>
      </c>
    </row>
    <row r="1217" spans="1:3" s="1" customFormat="1" ht="18.75" customHeight="1" x14ac:dyDescent="0.4">
      <c r="A1217" s="3" t="s">
        <v>1322</v>
      </c>
      <c r="B1217" s="3" t="str">
        <f>"世羅郡世羅町本郷918-3"</f>
        <v>世羅郡世羅町本郷918-3</v>
      </c>
      <c r="C1217" s="4">
        <v>46387</v>
      </c>
    </row>
    <row r="1218" spans="1:3" s="1" customFormat="1" ht="18.75" customHeight="1" x14ac:dyDescent="0.4">
      <c r="A1218" s="3" t="s">
        <v>1139</v>
      </c>
      <c r="B1218" s="3" t="str">
        <f>"世羅郡世羅町安田6-2"</f>
        <v>世羅郡世羅町安田6-2</v>
      </c>
      <c r="C1218" s="4">
        <v>46752</v>
      </c>
    </row>
    <row r="1219" spans="1:3" s="1" customFormat="1" ht="18.75" customHeight="1" x14ac:dyDescent="0.4">
      <c r="A1219" s="3" t="s">
        <v>1119</v>
      </c>
      <c r="B1219" s="3" t="str">
        <f>"世羅郡世羅町寺町1557-2"</f>
        <v>世羅郡世羅町寺町1557-2</v>
      </c>
      <c r="C1219" s="4">
        <v>46387</v>
      </c>
    </row>
    <row r="1220" spans="1:3" s="1" customFormat="1" ht="18.75" customHeight="1" x14ac:dyDescent="0.4">
      <c r="A1220" s="3" t="s">
        <v>875</v>
      </c>
      <c r="B1220" s="3" t="str">
        <f>"世羅郡世羅町小国4513-1"</f>
        <v>世羅郡世羅町小国4513-1</v>
      </c>
      <c r="C1220" s="4">
        <v>46387</v>
      </c>
    </row>
    <row r="1221" spans="1:3" s="1" customFormat="1" ht="18.75" customHeight="1" x14ac:dyDescent="0.4">
      <c r="A1221" s="3" t="s">
        <v>590</v>
      </c>
      <c r="B1221" s="3" t="str">
        <f>"世羅郡世羅町西上原482-13"</f>
        <v>世羅郡世羅町西上原482-13</v>
      </c>
      <c r="C1221" s="4">
        <v>47118</v>
      </c>
    </row>
    <row r="1222" spans="1:3" s="1" customFormat="1" ht="18.75" customHeight="1" x14ac:dyDescent="0.4">
      <c r="A1222" s="3" t="s">
        <v>1137</v>
      </c>
      <c r="B1222" s="3" t="s">
        <v>1138</v>
      </c>
      <c r="C1222" s="4">
        <v>46387</v>
      </c>
    </row>
    <row r="1223" spans="1:3" s="1" customFormat="1" ht="18.75" customHeight="1" x14ac:dyDescent="0.4">
      <c r="A1223" s="3" t="s">
        <v>680</v>
      </c>
      <c r="B1223" s="3" t="str">
        <f>"世羅郡世羅町本郷614-1"</f>
        <v>世羅郡世羅町本郷614-1</v>
      </c>
      <c r="C1223" s="4">
        <v>46387</v>
      </c>
    </row>
    <row r="1224" spans="1:3" s="1" customFormat="1" ht="18.75" customHeight="1" x14ac:dyDescent="0.4">
      <c r="A1224" s="3" t="s">
        <v>1136</v>
      </c>
      <c r="B1224" s="3" t="str">
        <f>"世羅郡世羅町本郷825-1"</f>
        <v>世羅郡世羅町本郷825-1</v>
      </c>
      <c r="C1224" s="4">
        <v>47118</v>
      </c>
    </row>
    <row r="1225" spans="1:3" s="1" customFormat="1" ht="18.75" customHeight="1" x14ac:dyDescent="0.4">
      <c r="A1225" s="3" t="s">
        <v>688</v>
      </c>
      <c r="B1225" s="3" t="str">
        <f>"世羅郡世羅町本郷918-3"</f>
        <v>世羅郡世羅町本郷918-3</v>
      </c>
      <c r="C1225" s="4">
        <v>46387</v>
      </c>
    </row>
    <row r="1226" spans="1:3" s="1" customFormat="1" ht="18.75" customHeight="1" x14ac:dyDescent="0.4">
      <c r="A1226" s="3" t="s">
        <v>603</v>
      </c>
      <c r="B1226" s="3" t="str">
        <f>"神石郡神石高原町小畠1709-3"</f>
        <v>神石郡神石高原町小畠1709-3</v>
      </c>
      <c r="C1226" s="4">
        <v>46752</v>
      </c>
    </row>
  </sheetData>
  <mergeCells count="1">
    <mergeCell ref="A1:C1"/>
  </mergeCells>
  <phoneticPr fontId="1" type="Hiragana"/>
  <pageMargins left="0.7" right="0.7" top="0.75" bottom="0.75" header="0.3" footer="0.3"/>
  <pageSetup paperSize="9" orientation="portrait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難病 医療機関（病院、診療所、介護医療院）R7.2末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森 美佐緒</dc:creator>
  <cp:lastModifiedBy>森 美佐緒</cp:lastModifiedBy>
  <dcterms:created xsi:type="dcterms:W3CDTF">2025-02-25T22:54:19Z</dcterms:created>
  <dcterms:modified xsi:type="dcterms:W3CDTF">2025-02-26T07:32:57Z</dcterms:modified>
</cp:coreProperties>
</file>